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Y:\2. MISSIONS_INSPECTEURS\2024\2024-M-071- subventions dommageables à la biodiversite\6. Rapport\1. Rapport IGF IGEDD\Rapport finalisé\"/>
    </mc:Choice>
  </mc:AlternateContent>
  <xr:revisionPtr revIDLastSave="0" documentId="13_ncr:1_{8398F08D-FA6C-4474-96CE-BD462B4DC9B7}" xr6:coauthVersionLast="47" xr6:coauthVersionMax="47" xr10:uidLastSave="{00000000-0000-0000-0000-000000000000}"/>
  <workbookProtection workbookAlgorithmName="SHA-512" workbookHashValue="cOx6pKXNcG3L/ZrvGcvBJtJ7rBjDnNg9ZB3RNuqGP/nIW7ju8zl88cL3F45I4/9tweVrRmI9r+ypiXIQU6Cgjg==" workbookSaltValue="QN/rsKB3szghfKBfwbksBw==" workbookSpinCount="100000" lockStructure="1"/>
  <bookViews>
    <workbookView xWindow="-120" yWindow="-120" windowWidth="25440" windowHeight="15270" xr2:uid="{00000000-000D-0000-FFFF-FFFF00000000}"/>
  </bookViews>
  <sheets>
    <sheet name="TOTAL" sheetId="11" r:id="rId1"/>
    <sheet name="Agriculture" sheetId="8" r:id="rId2"/>
    <sheet name="Forêt" sheetId="7" r:id="rId3"/>
    <sheet name="AffairesMaritimes" sheetId="3" r:id="rId4"/>
    <sheet name="Aménagement" sheetId="4" r:id="rId5"/>
    <sheet name="Énergie" sheetId="10" r:id="rId6"/>
  </sheets>
  <externalReferences>
    <externalReference r:id="rId7"/>
    <externalReference r:id="rId8"/>
  </externalReferences>
  <definedNames>
    <definedName name="_xlnm.Print_Area" localSheetId="5">Énergie!$D$119:$M$138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Q7" i="11"/>
  <c r="Q8" i="11"/>
  <c r="Q9" i="11"/>
  <c r="Q11" i="11"/>
  <c r="F162" i="8"/>
  <c r="K19" i="8"/>
  <c r="F76" i="7"/>
  <c r="F83" i="7"/>
  <c r="F310" i="8"/>
  <c r="F307" i="8"/>
  <c r="M313" i="8"/>
  <c r="Q313" i="8" s="1"/>
  <c r="L313" i="8"/>
  <c r="P313" i="8" s="1"/>
  <c r="K313" i="8"/>
  <c r="O313" i="8" s="1"/>
  <c r="F313" i="8"/>
  <c r="M242" i="8"/>
  <c r="L242" i="8"/>
  <c r="K242" i="8" s="1"/>
  <c r="J242" i="8"/>
  <c r="P11" i="11"/>
  <c r="O11" i="11"/>
  <c r="J280" i="8"/>
  <c r="J297" i="8"/>
  <c r="J296" i="8"/>
  <c r="J295" i="8"/>
  <c r="J294" i="8"/>
  <c r="J293" i="8"/>
  <c r="J292" i="8"/>
  <c r="J291" i="8"/>
  <c r="J290" i="8"/>
  <c r="J286" i="8"/>
  <c r="J285" i="8"/>
  <c r="J283" i="8"/>
  <c r="J282" i="8"/>
  <c r="J278" i="8"/>
  <c r="J276" i="8"/>
  <c r="J275" i="8"/>
  <c r="J274" i="8"/>
  <c r="J272" i="8"/>
  <c r="J271" i="8"/>
  <c r="J264" i="8"/>
  <c r="J263" i="8"/>
  <c r="J262" i="8"/>
  <c r="J261" i="8"/>
  <c r="J260" i="8"/>
  <c r="J259" i="8"/>
  <c r="J258" i="8"/>
  <c r="J257" i="8"/>
  <c r="J256" i="8"/>
  <c r="J255" i="8"/>
  <c r="J254" i="8"/>
  <c r="J253" i="8"/>
  <c r="J251" i="8"/>
  <c r="J250" i="8"/>
  <c r="J249" i="8"/>
  <c r="J247" i="8"/>
  <c r="J243" i="8"/>
  <c r="J241" i="8"/>
  <c r="J240" i="8"/>
  <c r="J239" i="8"/>
  <c r="J238" i="8"/>
  <c r="J237" i="8"/>
  <c r="J236" i="8"/>
  <c r="J235" i="8"/>
  <c r="J234" i="8"/>
  <c r="J232" i="8"/>
  <c r="J231" i="8"/>
  <c r="J230" i="8"/>
  <c r="J228" i="8"/>
  <c r="J227" i="8"/>
  <c r="J226" i="8"/>
  <c r="J225" i="8"/>
  <c r="J224" i="8"/>
  <c r="J223" i="8"/>
  <c r="J222" i="8"/>
  <c r="J221" i="8"/>
  <c r="J220" i="8"/>
  <c r="J219" i="8"/>
  <c r="J216" i="8"/>
  <c r="J214" i="8"/>
  <c r="J213" i="8"/>
  <c r="J212" i="8"/>
  <c r="J211" i="8"/>
  <c r="J209" i="8"/>
  <c r="J208" i="8"/>
  <c r="J207" i="8"/>
  <c r="J205" i="8"/>
  <c r="J204" i="8"/>
  <c r="J203" i="8"/>
  <c r="J202" i="8"/>
  <c r="J201" i="8"/>
  <c r="J200" i="8"/>
  <c r="J197" i="8"/>
  <c r="J195" i="8"/>
  <c r="J194" i="8"/>
  <c r="J193" i="8"/>
  <c r="J192" i="8"/>
  <c r="J191" i="8"/>
  <c r="J190" i="8"/>
  <c r="J189" i="8"/>
  <c r="J188" i="8"/>
  <c r="J187" i="8"/>
  <c r="J186" i="8"/>
  <c r="J185" i="8"/>
  <c r="J183" i="8"/>
  <c r="J182" i="8"/>
  <c r="J181" i="8"/>
  <c r="J180" i="8"/>
  <c r="J179" i="8"/>
  <c r="J178" i="8"/>
  <c r="J177" i="8"/>
  <c r="J176" i="8"/>
  <c r="J175" i="8"/>
  <c r="J174" i="8"/>
  <c r="J173" i="8"/>
  <c r="J172" i="8"/>
  <c r="J171" i="8"/>
  <c r="J169" i="8"/>
  <c r="J168" i="8"/>
  <c r="J167" i="8"/>
  <c r="J166" i="8"/>
  <c r="J165" i="8"/>
  <c r="J164" i="8"/>
  <c r="J161" i="8"/>
  <c r="J160" i="8"/>
  <c r="J159" i="8"/>
  <c r="J158" i="8"/>
  <c r="J157" i="8"/>
  <c r="J156" i="8"/>
  <c r="J155" i="8"/>
  <c r="J154" i="8"/>
  <c r="J153" i="8"/>
  <c r="J152" i="8"/>
  <c r="J151" i="8"/>
  <c r="J150" i="8"/>
  <c r="J149" i="8"/>
  <c r="J148" i="8"/>
  <c r="J147" i="8"/>
  <c r="J146" i="8"/>
  <c r="J144" i="8"/>
  <c r="J143" i="8"/>
  <c r="J138" i="8"/>
  <c r="J135" i="8"/>
  <c r="J134" i="8"/>
  <c r="J133" i="8"/>
  <c r="J132" i="8"/>
  <c r="J131" i="8"/>
  <c r="J130" i="8"/>
  <c r="J128" i="8"/>
  <c r="J127" i="8"/>
  <c r="J126"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1" i="8"/>
  <c r="J90" i="8"/>
  <c r="J89" i="8"/>
  <c r="J88" i="8"/>
  <c r="J87" i="8"/>
  <c r="J84" i="8"/>
  <c r="J83" i="8"/>
  <c r="J82" i="8"/>
  <c r="J81" i="8"/>
  <c r="J80" i="8"/>
  <c r="J79" i="8"/>
  <c r="J78" i="8"/>
  <c r="J77" i="8"/>
  <c r="J76" i="8"/>
  <c r="J74" i="8"/>
  <c r="J73" i="8"/>
  <c r="J72" i="8"/>
  <c r="J70" i="8"/>
  <c r="J69" i="8"/>
  <c r="J68" i="8"/>
  <c r="J64" i="8"/>
  <c r="J63" i="8"/>
  <c r="J62" i="8"/>
  <c r="J61" i="8"/>
  <c r="J60" i="8"/>
  <c r="J59" i="8"/>
  <c r="J58" i="8"/>
  <c r="J55" i="8"/>
  <c r="J52" i="8"/>
  <c r="J51" i="8"/>
  <c r="J50" i="8"/>
  <c r="J49" i="8"/>
  <c r="J47" i="8"/>
  <c r="J46" i="8"/>
  <c r="J45" i="8"/>
  <c r="J43" i="8"/>
  <c r="J42" i="8"/>
  <c r="J17" i="8"/>
  <c r="J16" i="8"/>
  <c r="J15" i="8"/>
  <c r="H70" i="7"/>
  <c r="H68" i="7"/>
  <c r="H66" i="7"/>
  <c r="H64" i="7"/>
  <c r="H63" i="7"/>
  <c r="H62" i="7"/>
  <c r="H61" i="7"/>
  <c r="H60" i="7"/>
  <c r="H59" i="7"/>
  <c r="H58" i="7"/>
  <c r="H57" i="7"/>
  <c r="H56" i="7"/>
  <c r="H54" i="7"/>
  <c r="H52" i="7"/>
  <c r="H51" i="7"/>
  <c r="H49" i="7"/>
  <c r="H48" i="7"/>
  <c r="H46" i="7"/>
  <c r="H45" i="7"/>
  <c r="H43" i="7"/>
  <c r="H42" i="7"/>
  <c r="H40" i="7"/>
  <c r="H39" i="7"/>
  <c r="H38" i="7"/>
  <c r="H37" i="7"/>
  <c r="H36" i="7"/>
  <c r="H35" i="7"/>
  <c r="H34" i="7"/>
  <c r="H33" i="7"/>
  <c r="H32" i="7"/>
  <c r="H31" i="7"/>
  <c r="H30" i="7"/>
  <c r="H29" i="7"/>
  <c r="H28" i="7"/>
  <c r="H27" i="7"/>
  <c r="H26" i="7"/>
  <c r="H25" i="7"/>
  <c r="H24" i="7"/>
  <c r="H22" i="7"/>
  <c r="H21" i="7"/>
  <c r="H19" i="7"/>
  <c r="H18" i="7"/>
  <c r="H16" i="7"/>
  <c r="H15" i="7"/>
  <c r="H14" i="7"/>
  <c r="H13" i="7"/>
  <c r="H12" i="7"/>
  <c r="H11" i="7"/>
  <c r="H10" i="7"/>
  <c r="H9" i="7"/>
  <c r="K63" i="3"/>
  <c r="K62" i="3"/>
  <c r="K61" i="3"/>
  <c r="K59" i="3"/>
  <c r="K58" i="3"/>
  <c r="K56" i="3"/>
  <c r="K55" i="3"/>
  <c r="K54" i="3"/>
  <c r="K53" i="3"/>
  <c r="K52" i="3"/>
  <c r="K51" i="3"/>
  <c r="K50" i="3"/>
  <c r="K49" i="3"/>
  <c r="K6" i="3" s="1"/>
  <c r="P9" i="11" s="1"/>
  <c r="K47" i="3"/>
  <c r="K45" i="3"/>
  <c r="K44" i="3"/>
  <c r="K43" i="3"/>
  <c r="K42" i="3"/>
  <c r="K41" i="3"/>
  <c r="K40" i="3"/>
  <c r="K39" i="3"/>
  <c r="K38" i="3"/>
  <c r="K37" i="3"/>
  <c r="K36" i="3"/>
  <c r="K35" i="3"/>
  <c r="K34" i="3"/>
  <c r="K30" i="3"/>
  <c r="K29" i="3"/>
  <c r="K28" i="3"/>
  <c r="K27" i="3"/>
  <c r="K25" i="3"/>
  <c r="K23" i="3"/>
  <c r="K20" i="3"/>
  <c r="K19" i="3"/>
  <c r="K18" i="3"/>
  <c r="K17" i="3"/>
  <c r="K16" i="3"/>
  <c r="K15" i="3"/>
  <c r="K14" i="3"/>
  <c r="K13" i="3"/>
  <c r="K11" i="3"/>
  <c r="K10" i="3"/>
  <c r="K9" i="3"/>
  <c r="H313" i="4"/>
  <c r="H312" i="4"/>
  <c r="H311" i="4"/>
  <c r="H310" i="4"/>
  <c r="H309" i="4"/>
  <c r="H308" i="4"/>
  <c r="H307" i="4"/>
  <c r="H306" i="4"/>
  <c r="H305" i="4"/>
  <c r="H304" i="4"/>
  <c r="H303" i="4"/>
  <c r="H302" i="4"/>
  <c r="H301" i="4"/>
  <c r="H300" i="4"/>
  <c r="H299" i="4"/>
  <c r="H298" i="4"/>
  <c r="H297" i="4"/>
  <c r="H296" i="4"/>
  <c r="H295" i="4"/>
  <c r="H294" i="4"/>
  <c r="H293" i="4"/>
  <c r="H292" i="4"/>
  <c r="H291"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0" i="4"/>
  <c r="H29" i="4"/>
  <c r="H28" i="4"/>
  <c r="H27" i="4"/>
  <c r="H26" i="4"/>
  <c r="H25" i="4"/>
  <c r="H24" i="4"/>
  <c r="H23" i="4"/>
  <c r="H22" i="4"/>
  <c r="H21" i="4"/>
  <c r="H20" i="4"/>
  <c r="H19" i="4"/>
  <c r="H18" i="4"/>
  <c r="H17" i="4"/>
  <c r="H16" i="4"/>
  <c r="H15" i="4"/>
  <c r="H14" i="4"/>
  <c r="H13" i="4"/>
  <c r="H11" i="4"/>
  <c r="H10" i="4"/>
  <c r="H9" i="4"/>
  <c r="I5" i="10"/>
  <c r="G22" i="10"/>
  <c r="G18" i="10"/>
  <c r="G8" i="10"/>
  <c r="F12" i="10"/>
  <c r="G12" i="10"/>
  <c r="I9" i="10"/>
  <c r="I10" i="10"/>
  <c r="I11" i="10"/>
  <c r="I13" i="10"/>
  <c r="I14" i="10"/>
  <c r="I16" i="10"/>
  <c r="I17" i="10"/>
  <c r="I19" i="10"/>
  <c r="I20" i="10"/>
  <c r="I21" i="10"/>
  <c r="I23" i="10"/>
  <c r="I24" i="10"/>
  <c r="I25" i="10"/>
  <c r="I26" i="10"/>
  <c r="I27" i="10"/>
  <c r="I28" i="10"/>
  <c r="I29" i="10"/>
  <c r="I30" i="10"/>
  <c r="I32" i="10"/>
  <c r="I33" i="10"/>
  <c r="I35" i="10"/>
  <c r="I36" i="10"/>
  <c r="I39" i="10"/>
  <c r="I40" i="10"/>
  <c r="I41" i="10"/>
  <c r="I42" i="10"/>
  <c r="I43" i="10"/>
  <c r="I44" i="10"/>
  <c r="I45" i="10"/>
  <c r="I46" i="10"/>
  <c r="I47" i="10"/>
  <c r="I48" i="10"/>
  <c r="I50" i="10"/>
  <c r="I51" i="10"/>
  <c r="I52" i="10"/>
  <c r="I53" i="10"/>
  <c r="I54" i="10"/>
  <c r="I55" i="10"/>
  <c r="I56" i="10"/>
  <c r="I57" i="10"/>
  <c r="I58" i="10"/>
  <c r="I59" i="10"/>
  <c r="I60" i="10"/>
  <c r="I61" i="10"/>
  <c r="I62" i="10"/>
  <c r="I63" i="10"/>
  <c r="I65" i="10"/>
  <c r="I66" i="10"/>
  <c r="I67" i="10"/>
  <c r="I68" i="10"/>
  <c r="I70" i="10"/>
  <c r="I71" i="10"/>
  <c r="I72" i="10"/>
  <c r="I74" i="10"/>
  <c r="I75"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7" i="10"/>
  <c r="F64" i="8"/>
  <c r="F63" i="8"/>
  <c r="F62" i="8"/>
  <c r="F61" i="8"/>
  <c r="F60" i="8"/>
  <c r="F59" i="8"/>
  <c r="F57" i="8"/>
  <c r="F56" i="8"/>
  <c r="F55" i="8"/>
  <c r="F54" i="8"/>
  <c r="F53" i="8"/>
  <c r="F51" i="8"/>
  <c r="F50" i="8"/>
  <c r="F49" i="8"/>
  <c r="F48" i="8"/>
  <c r="F47" i="8"/>
  <c r="F46" i="8"/>
  <c r="F45" i="8"/>
  <c r="F44" i="8"/>
  <c r="F40" i="8"/>
  <c r="F39" i="8"/>
  <c r="F37" i="8"/>
  <c r="F38" i="8"/>
  <c r="F31" i="8"/>
  <c r="L31" i="8" s="1"/>
  <c r="F36" i="8"/>
  <c r="F35" i="8"/>
  <c r="F32" i="8"/>
  <c r="F30" i="8"/>
  <c r="F29" i="8"/>
  <c r="F28" i="8"/>
  <c r="F27" i="8"/>
  <c r="F26" i="8"/>
  <c r="F25" i="8"/>
  <c r="F24" i="8"/>
  <c r="F23" i="8"/>
  <c r="F22" i="8"/>
  <c r="F21" i="8"/>
  <c r="F20" i="8"/>
  <c r="F19" i="8"/>
  <c r="F18" i="8"/>
  <c r="F14" i="8"/>
  <c r="F13" i="8"/>
  <c r="F12" i="8"/>
  <c r="F11" i="8"/>
  <c r="F10" i="8"/>
  <c r="I36" i="8"/>
  <c r="J36" i="8" s="1"/>
  <c r="J31" i="8"/>
  <c r="K5" i="3" l="1"/>
  <c r="O9" i="11" s="1"/>
  <c r="H5" i="7"/>
  <c r="O8" i="11" s="1"/>
  <c r="H6" i="4"/>
  <c r="P10" i="11" s="1"/>
  <c r="M31" i="8"/>
  <c r="K31" i="8" s="1"/>
  <c r="H6" i="7"/>
  <c r="P8" i="11" s="1"/>
  <c r="H5" i="4"/>
  <c r="O10" i="11" s="1"/>
  <c r="I6" i="10"/>
  <c r="F52" i="8"/>
  <c r="H47" i="11"/>
  <c r="J43" i="4"/>
  <c r="H43" i="11"/>
  <c r="I43" i="11"/>
  <c r="H44" i="11"/>
  <c r="I44" i="11"/>
  <c r="H45" i="11"/>
  <c r="I45" i="11"/>
  <c r="H46" i="11"/>
  <c r="I46" i="11"/>
  <c r="I47" i="11"/>
  <c r="H48" i="11"/>
  <c r="I48" i="11"/>
  <c r="H49" i="11"/>
  <c r="I49" i="11"/>
  <c r="H50" i="11"/>
  <c r="H8" i="11" s="1"/>
  <c r="I50" i="11"/>
  <c r="F7" i="10"/>
  <c r="J8" i="10"/>
  <c r="K8" i="10"/>
  <c r="J9" i="10"/>
  <c r="K9" i="10"/>
  <c r="L9" i="10"/>
  <c r="M9" i="10"/>
  <c r="G10" i="10"/>
  <c r="J10" i="10"/>
  <c r="K10" i="10"/>
  <c r="L10" i="10"/>
  <c r="M10" i="10"/>
  <c r="J11" i="10"/>
  <c r="K11" i="10"/>
  <c r="L11" i="10"/>
  <c r="M11" i="10"/>
  <c r="J13" i="10"/>
  <c r="K13" i="10"/>
  <c r="L13" i="10"/>
  <c r="M13" i="10"/>
  <c r="J14" i="10"/>
  <c r="K14" i="10"/>
  <c r="L14" i="10"/>
  <c r="M14" i="10"/>
  <c r="J15" i="10"/>
  <c r="K15" i="10"/>
  <c r="L15" i="10"/>
  <c r="M15" i="10"/>
  <c r="J18" i="10"/>
  <c r="K18" i="10"/>
  <c r="J19" i="10"/>
  <c r="K19" i="10"/>
  <c r="L19" i="10"/>
  <c r="M19" i="10"/>
  <c r="J20" i="10"/>
  <c r="K20" i="10"/>
  <c r="L20" i="10"/>
  <c r="M20" i="10"/>
  <c r="J21" i="10"/>
  <c r="K21" i="10"/>
  <c r="L21" i="10"/>
  <c r="M21" i="10"/>
  <c r="J22" i="10"/>
  <c r="K22" i="10"/>
  <c r="G23" i="10"/>
  <c r="J23" i="10"/>
  <c r="K23" i="10"/>
  <c r="L23" i="10"/>
  <c r="M23" i="10"/>
  <c r="G24" i="10"/>
  <c r="L24" i="10" s="1"/>
  <c r="J24" i="10"/>
  <c r="K24" i="10"/>
  <c r="M24" i="10"/>
  <c r="J25" i="10"/>
  <c r="K25" i="10"/>
  <c r="L25" i="10"/>
  <c r="M25" i="10"/>
  <c r="G26" i="10"/>
  <c r="L26" i="10" s="1"/>
  <c r="J26" i="10"/>
  <c r="K26" i="10"/>
  <c r="M26" i="10"/>
  <c r="G27" i="10"/>
  <c r="L27" i="10" s="1"/>
  <c r="J27" i="10"/>
  <c r="K27" i="10"/>
  <c r="M27" i="10"/>
  <c r="J28" i="10"/>
  <c r="K28" i="10"/>
  <c r="L28" i="10"/>
  <c r="M28" i="10"/>
  <c r="G29" i="10"/>
  <c r="J30" i="10"/>
  <c r="J29" i="10" s="1"/>
  <c r="K30" i="10"/>
  <c r="K29" i="10" s="1"/>
  <c r="L30" i="10"/>
  <c r="L29" i="10" s="1"/>
  <c r="M30" i="10"/>
  <c r="M29" i="10" s="1"/>
  <c r="J32" i="10"/>
  <c r="K32" i="10"/>
  <c r="L32" i="10"/>
  <c r="M32" i="10"/>
  <c r="J33" i="10"/>
  <c r="K33" i="10"/>
  <c r="K31" i="10" s="1"/>
  <c r="L123" i="10" s="1"/>
  <c r="L33" i="10"/>
  <c r="M33" i="10"/>
  <c r="F34" i="10"/>
  <c r="F124" i="10" s="1"/>
  <c r="G34" i="10"/>
  <c r="J35" i="10"/>
  <c r="K35" i="10"/>
  <c r="L35" i="10"/>
  <c r="M35" i="10"/>
  <c r="J36" i="10"/>
  <c r="J34" i="10" s="1"/>
  <c r="J124" i="10" s="1"/>
  <c r="K124" i="10" s="1"/>
  <c r="K36" i="10"/>
  <c r="L36" i="10"/>
  <c r="M36" i="10"/>
  <c r="M34" i="10" s="1"/>
  <c r="P124" i="10" s="1"/>
  <c r="F37" i="10"/>
  <c r="F125" i="10" s="1"/>
  <c r="G38" i="10"/>
  <c r="J39" i="10"/>
  <c r="K39" i="10"/>
  <c r="L39" i="10"/>
  <c r="M39" i="10"/>
  <c r="J40" i="10"/>
  <c r="K40" i="10"/>
  <c r="L40" i="10"/>
  <c r="M40" i="10"/>
  <c r="J41" i="10"/>
  <c r="K41" i="10"/>
  <c r="L41" i="10"/>
  <c r="M41" i="10"/>
  <c r="J42" i="10"/>
  <c r="K42" i="10"/>
  <c r="L42" i="10"/>
  <c r="M42" i="10"/>
  <c r="J43" i="10"/>
  <c r="K43" i="10"/>
  <c r="L43" i="10"/>
  <c r="M43" i="10"/>
  <c r="J44" i="10"/>
  <c r="K44" i="10"/>
  <c r="L44" i="10"/>
  <c r="M44" i="10"/>
  <c r="J45" i="10"/>
  <c r="K45" i="10"/>
  <c r="L45" i="10"/>
  <c r="M45" i="10"/>
  <c r="J46" i="10"/>
  <c r="K46" i="10"/>
  <c r="L46" i="10"/>
  <c r="M46" i="10"/>
  <c r="J47" i="10"/>
  <c r="K47" i="10"/>
  <c r="L47" i="10"/>
  <c r="M47" i="10"/>
  <c r="J48" i="10"/>
  <c r="K48" i="10"/>
  <c r="L48" i="10"/>
  <c r="M48" i="10"/>
  <c r="G49" i="10"/>
  <c r="J50" i="10"/>
  <c r="K50" i="10"/>
  <c r="L50" i="10"/>
  <c r="M50" i="10"/>
  <c r="J51" i="10"/>
  <c r="K51" i="10"/>
  <c r="L51" i="10"/>
  <c r="M51" i="10"/>
  <c r="J52" i="10"/>
  <c r="K52" i="10"/>
  <c r="L52" i="10"/>
  <c r="M52" i="10"/>
  <c r="J53" i="10"/>
  <c r="K53" i="10"/>
  <c r="L53" i="10"/>
  <c r="M53" i="10"/>
  <c r="J54" i="10"/>
  <c r="K54" i="10"/>
  <c r="L54" i="10"/>
  <c r="M54" i="10"/>
  <c r="J55" i="10"/>
  <c r="K55" i="10"/>
  <c r="L55" i="10"/>
  <c r="M55" i="10"/>
  <c r="J56" i="10"/>
  <c r="K56" i="10"/>
  <c r="L56" i="10"/>
  <c r="M56" i="10"/>
  <c r="J57" i="10"/>
  <c r="K57" i="10"/>
  <c r="L57" i="10"/>
  <c r="M57" i="10"/>
  <c r="J58" i="10"/>
  <c r="K58" i="10"/>
  <c r="L58" i="10"/>
  <c r="M58" i="10"/>
  <c r="J59" i="10"/>
  <c r="K59" i="10"/>
  <c r="L59" i="10"/>
  <c r="M59" i="10"/>
  <c r="J60" i="10"/>
  <c r="K60" i="10"/>
  <c r="L60" i="10"/>
  <c r="M60" i="10"/>
  <c r="J61" i="10"/>
  <c r="K61" i="10"/>
  <c r="L61" i="10"/>
  <c r="M61" i="10"/>
  <c r="J62" i="10"/>
  <c r="K62" i="10"/>
  <c r="L62" i="10"/>
  <c r="M62" i="10"/>
  <c r="J63" i="10"/>
  <c r="K63" i="10"/>
  <c r="L63" i="10"/>
  <c r="M63" i="10"/>
  <c r="J65" i="10"/>
  <c r="K65" i="10"/>
  <c r="L65" i="10"/>
  <c r="M65" i="10"/>
  <c r="J66" i="10"/>
  <c r="K66" i="10"/>
  <c r="L66" i="10"/>
  <c r="L64" i="10" s="1"/>
  <c r="M66" i="10"/>
  <c r="J67" i="10"/>
  <c r="K67" i="10"/>
  <c r="L67" i="10"/>
  <c r="M67" i="10"/>
  <c r="J68" i="10"/>
  <c r="K68" i="10"/>
  <c r="L68" i="10"/>
  <c r="M68" i="10"/>
  <c r="G69" i="10"/>
  <c r="J70" i="10"/>
  <c r="K70" i="10"/>
  <c r="K69" i="10" s="1"/>
  <c r="L70" i="10"/>
  <c r="L69" i="10" s="1"/>
  <c r="M70" i="10"/>
  <c r="M69" i="10" s="1"/>
  <c r="J71" i="10"/>
  <c r="K71" i="10"/>
  <c r="L71" i="10"/>
  <c r="M71" i="10"/>
  <c r="J72" i="10"/>
  <c r="K72" i="10"/>
  <c r="L72" i="10"/>
  <c r="M72" i="10"/>
  <c r="F74" i="10"/>
  <c r="F73" i="10" s="1"/>
  <c r="F126" i="10" s="1"/>
  <c r="G74" i="10"/>
  <c r="G73" i="10" s="1"/>
  <c r="G126" i="10" s="1"/>
  <c r="J75" i="10"/>
  <c r="J74" i="10" s="1"/>
  <c r="J73" i="10" s="1"/>
  <c r="J126" i="10" s="1"/>
  <c r="K75" i="10"/>
  <c r="K74" i="10" s="1"/>
  <c r="K73" i="10" s="1"/>
  <c r="L126" i="10" s="1"/>
  <c r="L75" i="10"/>
  <c r="L74" i="10" s="1"/>
  <c r="L73" i="10" s="1"/>
  <c r="N126" i="10" s="1"/>
  <c r="M75" i="10"/>
  <c r="M74" i="10" s="1"/>
  <c r="M73" i="10" s="1"/>
  <c r="P126" i="10" s="1"/>
  <c r="F76" i="10"/>
  <c r="G76" i="10"/>
  <c r="G127" i="10" s="1"/>
  <c r="J77" i="10"/>
  <c r="K77" i="10"/>
  <c r="L77" i="10"/>
  <c r="M77" i="10"/>
  <c r="J78" i="10"/>
  <c r="K78" i="10"/>
  <c r="L133" i="10" s="1"/>
  <c r="M133" i="10" s="1"/>
  <c r="L78" i="10"/>
  <c r="M78" i="10"/>
  <c r="J79" i="10"/>
  <c r="J133" i="10" s="1"/>
  <c r="J137" i="10" s="1"/>
  <c r="K79" i="10"/>
  <c r="L79" i="10"/>
  <c r="M79" i="10"/>
  <c r="J80" i="10"/>
  <c r="K80" i="10"/>
  <c r="L80" i="10"/>
  <c r="M80" i="10"/>
  <c r="J81" i="10"/>
  <c r="K81" i="10"/>
  <c r="L81" i="10"/>
  <c r="M81" i="10"/>
  <c r="J82" i="10"/>
  <c r="K82" i="10"/>
  <c r="L82" i="10"/>
  <c r="M82" i="10"/>
  <c r="J83" i="10"/>
  <c r="K83" i="10"/>
  <c r="L83" i="10"/>
  <c r="M83" i="10"/>
  <c r="J84" i="10"/>
  <c r="K84" i="10"/>
  <c r="L84" i="10"/>
  <c r="M84" i="10"/>
  <c r="J85" i="10"/>
  <c r="K85" i="10"/>
  <c r="L85" i="10"/>
  <c r="M85" i="10"/>
  <c r="J86" i="10"/>
  <c r="K86" i="10"/>
  <c r="L86" i="10"/>
  <c r="M86" i="10"/>
  <c r="J87" i="10"/>
  <c r="K87" i="10"/>
  <c r="L87" i="10"/>
  <c r="M87" i="10"/>
  <c r="J88" i="10"/>
  <c r="K88" i="10"/>
  <c r="L88" i="10"/>
  <c r="M88" i="10"/>
  <c r="J89" i="10"/>
  <c r="K89" i="10"/>
  <c r="L89" i="10"/>
  <c r="M89" i="10"/>
  <c r="J90" i="10"/>
  <c r="K90" i="10"/>
  <c r="L90" i="10"/>
  <c r="M90" i="10"/>
  <c r="J91" i="10"/>
  <c r="K91" i="10"/>
  <c r="L91" i="10"/>
  <c r="M91" i="10"/>
  <c r="J92" i="10"/>
  <c r="K92" i="10"/>
  <c r="L92" i="10"/>
  <c r="M92" i="10"/>
  <c r="J93" i="10"/>
  <c r="K93" i="10"/>
  <c r="L93" i="10"/>
  <c r="M93" i="10"/>
  <c r="J94" i="10"/>
  <c r="K94" i="10"/>
  <c r="L94" i="10"/>
  <c r="M94" i="10"/>
  <c r="J95" i="10"/>
  <c r="K95" i="10"/>
  <c r="L95" i="10"/>
  <c r="M95" i="10"/>
  <c r="J96" i="10"/>
  <c r="K96" i="10"/>
  <c r="L96" i="10"/>
  <c r="M96" i="10"/>
  <c r="J97" i="10"/>
  <c r="K97" i="10"/>
  <c r="L97" i="10"/>
  <c r="M97" i="10"/>
  <c r="J98" i="10"/>
  <c r="K98" i="10"/>
  <c r="L98" i="10"/>
  <c r="M98" i="10"/>
  <c r="J99" i="10"/>
  <c r="K99" i="10"/>
  <c r="L99" i="10"/>
  <c r="M99" i="10"/>
  <c r="J100" i="10"/>
  <c r="K100" i="10"/>
  <c r="L100" i="10"/>
  <c r="M100" i="10"/>
  <c r="J101" i="10"/>
  <c r="K101" i="10"/>
  <c r="L101" i="10"/>
  <c r="M101" i="10"/>
  <c r="J102" i="10"/>
  <c r="K102" i="10"/>
  <c r="L102" i="10"/>
  <c r="M102" i="10"/>
  <c r="J103" i="10"/>
  <c r="K103" i="10"/>
  <c r="L103" i="10"/>
  <c r="M103" i="10"/>
  <c r="J104" i="10"/>
  <c r="K104" i="10"/>
  <c r="L104" i="10"/>
  <c r="M104" i="10"/>
  <c r="J105" i="10"/>
  <c r="K105" i="10"/>
  <c r="L105" i="10"/>
  <c r="M105" i="10"/>
  <c r="J106" i="10"/>
  <c r="K106" i="10"/>
  <c r="L106" i="10"/>
  <c r="M106" i="10"/>
  <c r="J107" i="10"/>
  <c r="K107" i="10"/>
  <c r="L107" i="10"/>
  <c r="M107" i="10"/>
  <c r="J108" i="10"/>
  <c r="J135" i="10" s="1"/>
  <c r="K108" i="10"/>
  <c r="L108" i="10"/>
  <c r="M108" i="10"/>
  <c r="J109" i="10"/>
  <c r="K109" i="10"/>
  <c r="L109" i="10"/>
  <c r="M109" i="10"/>
  <c r="J110" i="10"/>
  <c r="K110" i="10"/>
  <c r="L110" i="10"/>
  <c r="M110" i="10"/>
  <c r="J111" i="10"/>
  <c r="K111" i="10"/>
  <c r="L111" i="10"/>
  <c r="M111" i="10"/>
  <c r="J112" i="10"/>
  <c r="K112" i="10"/>
  <c r="L112" i="10"/>
  <c r="M112" i="10"/>
  <c r="J113" i="10"/>
  <c r="K113" i="10"/>
  <c r="L113" i="10"/>
  <c r="M113" i="10"/>
  <c r="J114" i="10"/>
  <c r="K114" i="10"/>
  <c r="L114" i="10"/>
  <c r="M114" i="10"/>
  <c r="J115" i="10"/>
  <c r="J136" i="10" s="1"/>
  <c r="K136" i="10" s="1"/>
  <c r="K115" i="10"/>
  <c r="L115" i="10"/>
  <c r="M115" i="10"/>
  <c r="J117" i="10"/>
  <c r="J116" i="10" s="1"/>
  <c r="J128" i="10" s="1"/>
  <c r="G146" i="10" s="1"/>
  <c r="K117" i="10"/>
  <c r="K116" i="10" s="1"/>
  <c r="L128" i="10" s="1"/>
  <c r="J146" i="10" s="1"/>
  <c r="L117" i="10"/>
  <c r="L116" i="10" s="1"/>
  <c r="N128" i="10" s="1"/>
  <c r="O128" i="10" s="1"/>
  <c r="M117" i="10"/>
  <c r="M116" i="10" s="1"/>
  <c r="P128" i="10" s="1"/>
  <c r="Q128" i="10" s="1"/>
  <c r="F122" i="10"/>
  <c r="F123" i="10"/>
  <c r="G123" i="10"/>
  <c r="H123" i="10"/>
  <c r="G124" i="10"/>
  <c r="D126" i="10"/>
  <c r="F127" i="10"/>
  <c r="F145" i="10" s="1"/>
  <c r="E76" i="11" s="1"/>
  <c r="F128" i="10"/>
  <c r="F146" i="10" s="1"/>
  <c r="E77" i="11" s="1"/>
  <c r="G128" i="10"/>
  <c r="F133" i="10"/>
  <c r="G133" i="10"/>
  <c r="F134" i="10"/>
  <c r="G134" i="10"/>
  <c r="H134" i="10"/>
  <c r="H137" i="10" s="1"/>
  <c r="J134" i="10"/>
  <c r="K134" i="10" s="1"/>
  <c r="F135" i="10"/>
  <c r="G135" i="10"/>
  <c r="H135" i="10"/>
  <c r="F136" i="10"/>
  <c r="G136" i="10"/>
  <c r="H136" i="10"/>
  <c r="Q10" i="11" l="1"/>
  <c r="J49" i="10"/>
  <c r="Q124" i="10"/>
  <c r="M123" i="10"/>
  <c r="L31" i="10"/>
  <c r="N123" i="10" s="1"/>
  <c r="J69" i="10"/>
  <c r="K64" i="10"/>
  <c r="G137" i="10"/>
  <c r="K137" i="10" s="1"/>
  <c r="M18" i="10"/>
  <c r="H77" i="11"/>
  <c r="K146" i="10"/>
  <c r="I77" i="11" s="1"/>
  <c r="H146" i="10"/>
  <c r="G77" i="11" s="1"/>
  <c r="F77" i="11"/>
  <c r="L34" i="10"/>
  <c r="N124" i="10" s="1"/>
  <c r="O124" i="10" s="1"/>
  <c r="K34" i="10"/>
  <c r="L124" i="10" s="1"/>
  <c r="K12" i="10"/>
  <c r="K7" i="10" s="1"/>
  <c r="L122" i="10" s="1"/>
  <c r="M122" i="10" s="1"/>
  <c r="J76" i="10"/>
  <c r="J127" i="10" s="1"/>
  <c r="J12" i="10"/>
  <c r="J7" i="10" s="1"/>
  <c r="J122" i="10" s="1"/>
  <c r="L8" i="10"/>
  <c r="M64" i="10"/>
  <c r="J38" i="10"/>
  <c r="J37" i="10" s="1"/>
  <c r="J125" i="10" s="1"/>
  <c r="K125" i="10" s="1"/>
  <c r="J64" i="10"/>
  <c r="K38" i="10"/>
  <c r="K37" i="10" s="1"/>
  <c r="L125" i="10" s="1"/>
  <c r="M125" i="10" s="1"/>
  <c r="G7" i="10"/>
  <c r="G122" i="10" s="1"/>
  <c r="Q126" i="10"/>
  <c r="M31" i="10"/>
  <c r="P123" i="10" s="1"/>
  <c r="Q123" i="10" s="1"/>
  <c r="M76" i="10"/>
  <c r="P127" i="10" s="1"/>
  <c r="Q127" i="10" s="1"/>
  <c r="M49" i="10"/>
  <c r="K135" i="10"/>
  <c r="L136" i="10"/>
  <c r="M136" i="10" s="1"/>
  <c r="L135" i="10"/>
  <c r="M135" i="10" s="1"/>
  <c r="L134" i="10"/>
  <c r="M134" i="10" s="1"/>
  <c r="M22" i="10"/>
  <c r="L18" i="10"/>
  <c r="L76" i="10"/>
  <c r="N127" i="10" s="1"/>
  <c r="O127" i="10" s="1"/>
  <c r="F137" i="10"/>
  <c r="L49" i="10"/>
  <c r="K49" i="10"/>
  <c r="L38" i="10"/>
  <c r="O123" i="10"/>
  <c r="M38" i="10"/>
  <c r="G37" i="10"/>
  <c r="G125" i="10" s="1"/>
  <c r="M12" i="10"/>
  <c r="J31" i="10"/>
  <c r="J123" i="10" s="1"/>
  <c r="K123" i="10" s="1"/>
  <c r="L12" i="10"/>
  <c r="K76" i="10"/>
  <c r="L127" i="10" s="1"/>
  <c r="M8" i="10"/>
  <c r="M126" i="10"/>
  <c r="O126" i="10"/>
  <c r="F121" i="10"/>
  <c r="K126" i="10"/>
  <c r="L37" i="10"/>
  <c r="N125" i="10" s="1"/>
  <c r="O125" i="10" s="1"/>
  <c r="L22" i="10"/>
  <c r="K133" i="10"/>
  <c r="M7" i="10" l="1"/>
  <c r="P122" i="10" s="1"/>
  <c r="L7" i="10"/>
  <c r="N122" i="10" s="1"/>
  <c r="O122" i="10" s="1"/>
  <c r="G121" i="10"/>
  <c r="G129" i="10" s="1"/>
  <c r="M127" i="10"/>
  <c r="J145" i="10"/>
  <c r="F129" i="10"/>
  <c r="F147" i="10" s="1"/>
  <c r="E78" i="11" s="1"/>
  <c r="E11" i="11" s="1"/>
  <c r="F144" i="10"/>
  <c r="E75" i="11" s="1"/>
  <c r="M37" i="10"/>
  <c r="P125" i="10" s="1"/>
  <c r="Q125" i="10" s="1"/>
  <c r="K127" i="10"/>
  <c r="G145" i="10"/>
  <c r="L137" i="10"/>
  <c r="M137" i="10" s="1"/>
  <c r="N121" i="10"/>
  <c r="J121" i="10"/>
  <c r="G144" i="10" s="1"/>
  <c r="K122" i="10"/>
  <c r="L121" i="10"/>
  <c r="J144" i="10" s="1"/>
  <c r="Q122" i="10"/>
  <c r="K144" i="10" l="1"/>
  <c r="I75" i="11" s="1"/>
  <c r="H75" i="11"/>
  <c r="P121" i="10"/>
  <c r="F75" i="11"/>
  <c r="H144" i="10"/>
  <c r="G75" i="11" s="1"/>
  <c r="F76" i="11"/>
  <c r="H145" i="10"/>
  <c r="G76" i="11" s="1"/>
  <c r="K145" i="10"/>
  <c r="I76" i="11" s="1"/>
  <c r="H76" i="11"/>
  <c r="P129" i="10"/>
  <c r="Q129" i="10" s="1"/>
  <c r="Q121" i="10"/>
  <c r="M121" i="10"/>
  <c r="L129" i="10"/>
  <c r="K121" i="10"/>
  <c r="J129" i="10"/>
  <c r="O121" i="10"/>
  <c r="N129" i="10"/>
  <c r="O129" i="10" s="1"/>
  <c r="M129" i="10" l="1"/>
  <c r="J147" i="10"/>
  <c r="K129" i="10"/>
  <c r="G147" i="10"/>
  <c r="F9" i="8"/>
  <c r="I10" i="8"/>
  <c r="L10" i="8"/>
  <c r="I11" i="8"/>
  <c r="L11" i="8"/>
  <c r="I12" i="8"/>
  <c r="L12" i="8"/>
  <c r="I13" i="8"/>
  <c r="L13" i="8"/>
  <c r="I14" i="8"/>
  <c r="L14" i="8"/>
  <c r="F17" i="8"/>
  <c r="I18" i="8"/>
  <c r="L18" i="8"/>
  <c r="L19" i="8"/>
  <c r="I20" i="8"/>
  <c r="L20" i="8"/>
  <c r="I21" i="8"/>
  <c r="L21" i="8"/>
  <c r="I22" i="8"/>
  <c r="L22" i="8"/>
  <c r="I23" i="8"/>
  <c r="L23" i="8"/>
  <c r="I24" i="8"/>
  <c r="L24" i="8"/>
  <c r="I25" i="8"/>
  <c r="L25" i="8"/>
  <c r="I26" i="8"/>
  <c r="L26" i="8"/>
  <c r="I27" i="8"/>
  <c r="L27" i="8"/>
  <c r="I28" i="8"/>
  <c r="L28" i="8"/>
  <c r="L29" i="8"/>
  <c r="L30" i="8"/>
  <c r="I32" i="8"/>
  <c r="L32" i="8"/>
  <c r="F34" i="8"/>
  <c r="I35" i="8"/>
  <c r="L35" i="8"/>
  <c r="I37" i="8"/>
  <c r="L37" i="8"/>
  <c r="I38" i="8"/>
  <c r="L38" i="8"/>
  <c r="I39" i="8"/>
  <c r="L39" i="8"/>
  <c r="I40" i="8"/>
  <c r="L40" i="8"/>
  <c r="I41" i="8"/>
  <c r="L41" i="8"/>
  <c r="I44" i="8"/>
  <c r="L44" i="8"/>
  <c r="L45" i="8"/>
  <c r="M45" i="8"/>
  <c r="L46" i="8"/>
  <c r="M46" i="8"/>
  <c r="L47" i="8"/>
  <c r="M47" i="8"/>
  <c r="I48" i="8"/>
  <c r="L48" i="8"/>
  <c r="L49" i="8"/>
  <c r="M49" i="8"/>
  <c r="L50" i="8"/>
  <c r="M50" i="8"/>
  <c r="L51" i="8"/>
  <c r="M51" i="8"/>
  <c r="I53" i="8"/>
  <c r="L53" i="8"/>
  <c r="I54" i="8"/>
  <c r="L54" i="8"/>
  <c r="L55" i="8"/>
  <c r="M55" i="8"/>
  <c r="I56" i="8"/>
  <c r="L56" i="8"/>
  <c r="I57" i="8"/>
  <c r="L57" i="8"/>
  <c r="F58" i="8"/>
  <c r="L59" i="8"/>
  <c r="M59" i="8"/>
  <c r="L60" i="8"/>
  <c r="M60" i="8"/>
  <c r="L61" i="8"/>
  <c r="M61" i="8"/>
  <c r="L62" i="8"/>
  <c r="M62" i="8"/>
  <c r="L63" i="8"/>
  <c r="M63" i="8"/>
  <c r="L64" i="8"/>
  <c r="M64" i="8"/>
  <c r="F67" i="8"/>
  <c r="L68" i="8"/>
  <c r="M68" i="8"/>
  <c r="L69" i="8"/>
  <c r="M69" i="8"/>
  <c r="L70" i="8"/>
  <c r="M70" i="8"/>
  <c r="F71" i="8"/>
  <c r="L72" i="8"/>
  <c r="M72" i="8"/>
  <c r="L73" i="8"/>
  <c r="M73" i="8"/>
  <c r="L74" i="8"/>
  <c r="M74" i="8"/>
  <c r="F75" i="8"/>
  <c r="L76" i="8"/>
  <c r="M76" i="8"/>
  <c r="L77" i="8"/>
  <c r="M77" i="8"/>
  <c r="L78" i="8"/>
  <c r="M78" i="8"/>
  <c r="L79" i="8"/>
  <c r="M79" i="8"/>
  <c r="L80" i="8"/>
  <c r="M80" i="8"/>
  <c r="L81" i="8"/>
  <c r="M81" i="8"/>
  <c r="L82" i="8"/>
  <c r="M82" i="8"/>
  <c r="L83" i="8"/>
  <c r="M83" i="8"/>
  <c r="L84" i="8"/>
  <c r="M84" i="8"/>
  <c r="F86" i="8"/>
  <c r="L87" i="8"/>
  <c r="M87" i="8"/>
  <c r="L88" i="8"/>
  <c r="M88" i="8"/>
  <c r="L89" i="8"/>
  <c r="M89" i="8"/>
  <c r="L90" i="8"/>
  <c r="M90" i="8"/>
  <c r="L91" i="8"/>
  <c r="M91" i="8"/>
  <c r="F94" i="8"/>
  <c r="L95" i="8"/>
  <c r="M95" i="8"/>
  <c r="L96" i="8"/>
  <c r="M96" i="8"/>
  <c r="L97" i="8"/>
  <c r="M97" i="8"/>
  <c r="L98" i="8"/>
  <c r="M98" i="8"/>
  <c r="L99" i="8"/>
  <c r="M99" i="8"/>
  <c r="L100" i="8"/>
  <c r="M100" i="8"/>
  <c r="L101" i="8"/>
  <c r="M101" i="8"/>
  <c r="L102" i="8"/>
  <c r="M102" i="8"/>
  <c r="L103" i="8"/>
  <c r="M103" i="8"/>
  <c r="L104" i="8"/>
  <c r="M104" i="8"/>
  <c r="L105" i="8"/>
  <c r="M105" i="8"/>
  <c r="L106" i="8"/>
  <c r="M106" i="8"/>
  <c r="L107" i="8"/>
  <c r="M107" i="8"/>
  <c r="L108" i="8"/>
  <c r="M108" i="8"/>
  <c r="L109" i="8"/>
  <c r="M109" i="8"/>
  <c r="F110" i="8"/>
  <c r="L111" i="8"/>
  <c r="M111" i="8"/>
  <c r="L112" i="8"/>
  <c r="M112" i="8"/>
  <c r="L113" i="8"/>
  <c r="M113" i="8"/>
  <c r="L114" i="8"/>
  <c r="M114" i="8"/>
  <c r="F115" i="8"/>
  <c r="L116" i="8"/>
  <c r="M116" i="8"/>
  <c r="L117" i="8"/>
  <c r="M117" i="8"/>
  <c r="L118" i="8"/>
  <c r="M118" i="8"/>
  <c r="L119" i="8"/>
  <c r="M119" i="8"/>
  <c r="L120" i="8"/>
  <c r="M120" i="8"/>
  <c r="L121" i="8"/>
  <c r="M121" i="8"/>
  <c r="L122" i="8"/>
  <c r="M122" i="8"/>
  <c r="F125" i="8"/>
  <c r="L126" i="8"/>
  <c r="M126" i="8"/>
  <c r="L127" i="8"/>
  <c r="M127" i="8"/>
  <c r="L128" i="8"/>
  <c r="M128" i="8"/>
  <c r="F129" i="8"/>
  <c r="L130" i="8"/>
  <c r="M130" i="8"/>
  <c r="L131" i="8"/>
  <c r="M131" i="8"/>
  <c r="L132" i="8"/>
  <c r="M132" i="8"/>
  <c r="L133" i="8"/>
  <c r="M133" i="8"/>
  <c r="L134" i="8"/>
  <c r="M134" i="8"/>
  <c r="L135" i="8"/>
  <c r="M135" i="8"/>
  <c r="L136" i="8"/>
  <c r="M136" i="8"/>
  <c r="L138" i="8"/>
  <c r="M138" i="8"/>
  <c r="F139" i="8"/>
  <c r="I140" i="8"/>
  <c r="L140" i="8"/>
  <c r="I141" i="8"/>
  <c r="L141" i="8"/>
  <c r="I142" i="8"/>
  <c r="L142" i="8"/>
  <c r="L143" i="8"/>
  <c r="M143" i="8"/>
  <c r="F144" i="8"/>
  <c r="I145" i="8"/>
  <c r="L145" i="8"/>
  <c r="L146" i="8"/>
  <c r="M146" i="8"/>
  <c r="L147" i="8"/>
  <c r="M147" i="8"/>
  <c r="F148" i="8"/>
  <c r="L149" i="8"/>
  <c r="M149" i="8"/>
  <c r="L150" i="8"/>
  <c r="M150" i="8"/>
  <c r="L151" i="8"/>
  <c r="M151" i="8"/>
  <c r="L152" i="8"/>
  <c r="M152" i="8"/>
  <c r="L153" i="8"/>
  <c r="M153" i="8"/>
  <c r="L154" i="8"/>
  <c r="M154" i="8"/>
  <c r="L155" i="8"/>
  <c r="M155" i="8"/>
  <c r="L156" i="8"/>
  <c r="M156" i="8"/>
  <c r="F157" i="8"/>
  <c r="L158" i="8"/>
  <c r="M158" i="8"/>
  <c r="L159" i="8"/>
  <c r="M159" i="8"/>
  <c r="L160" i="8"/>
  <c r="M160" i="8"/>
  <c r="L161" i="8"/>
  <c r="M161" i="8"/>
  <c r="F163" i="8"/>
  <c r="L164" i="8"/>
  <c r="M164" i="8"/>
  <c r="L165" i="8"/>
  <c r="M165" i="8"/>
  <c r="L166" i="8"/>
  <c r="M166" i="8"/>
  <c r="L167" i="8"/>
  <c r="M167" i="8"/>
  <c r="L168" i="8"/>
  <c r="M168" i="8"/>
  <c r="L169" i="8"/>
  <c r="M169" i="8"/>
  <c r="F170" i="8"/>
  <c r="L171" i="8"/>
  <c r="M171" i="8"/>
  <c r="L172" i="8"/>
  <c r="M172" i="8"/>
  <c r="L173" i="8"/>
  <c r="M173" i="8"/>
  <c r="F174" i="8"/>
  <c r="L175" i="8"/>
  <c r="M175" i="8"/>
  <c r="L176" i="8"/>
  <c r="M176" i="8"/>
  <c r="L177" i="8"/>
  <c r="M177" i="8"/>
  <c r="L178" i="8"/>
  <c r="M178" i="8"/>
  <c r="L179" i="8"/>
  <c r="M179" i="8"/>
  <c r="L180" i="8"/>
  <c r="M180" i="8"/>
  <c r="L181" i="8"/>
  <c r="M181" i="8"/>
  <c r="L182" i="8"/>
  <c r="M182" i="8"/>
  <c r="L183" i="8"/>
  <c r="M183" i="8"/>
  <c r="F184" i="8"/>
  <c r="L185" i="8"/>
  <c r="M185" i="8"/>
  <c r="L186" i="8"/>
  <c r="M186" i="8"/>
  <c r="L187" i="8"/>
  <c r="M187" i="8"/>
  <c r="L188" i="8"/>
  <c r="M188" i="8"/>
  <c r="L189" i="8"/>
  <c r="M189" i="8"/>
  <c r="L190" i="8"/>
  <c r="M190" i="8"/>
  <c r="L191" i="8"/>
  <c r="M191" i="8"/>
  <c r="L192" i="8"/>
  <c r="M192" i="8"/>
  <c r="L193" i="8"/>
  <c r="M193" i="8"/>
  <c r="L194" i="8"/>
  <c r="M194" i="8"/>
  <c r="L195" i="8"/>
  <c r="M195" i="8"/>
  <c r="L197" i="8"/>
  <c r="M197" i="8"/>
  <c r="F199" i="8"/>
  <c r="L200" i="8"/>
  <c r="M200" i="8"/>
  <c r="L201" i="8"/>
  <c r="M201" i="8"/>
  <c r="L202" i="8"/>
  <c r="M202" i="8"/>
  <c r="L203" i="8"/>
  <c r="M203" i="8"/>
  <c r="L204" i="8"/>
  <c r="M204" i="8"/>
  <c r="L205" i="8"/>
  <c r="M205" i="8"/>
  <c r="F206" i="8"/>
  <c r="L207" i="8"/>
  <c r="M207" i="8"/>
  <c r="L208" i="8"/>
  <c r="M208" i="8"/>
  <c r="L209" i="8"/>
  <c r="M209" i="8"/>
  <c r="F210" i="8"/>
  <c r="L211" i="8"/>
  <c r="M211" i="8"/>
  <c r="L212" i="8"/>
  <c r="M212" i="8"/>
  <c r="L213" i="8"/>
  <c r="M213" i="8"/>
  <c r="L214" i="8"/>
  <c r="M214" i="8"/>
  <c r="I215" i="8"/>
  <c r="L215" i="8"/>
  <c r="L216" i="8"/>
  <c r="M216" i="8"/>
  <c r="F218" i="8"/>
  <c r="L219" i="8"/>
  <c r="M219" i="8"/>
  <c r="L220" i="8"/>
  <c r="M220" i="8"/>
  <c r="L221" i="8"/>
  <c r="M221" i="8"/>
  <c r="L222" i="8"/>
  <c r="M222" i="8"/>
  <c r="L223" i="8"/>
  <c r="M223" i="8"/>
  <c r="L224" i="8"/>
  <c r="M224" i="8"/>
  <c r="L225" i="8"/>
  <c r="M225" i="8"/>
  <c r="L226" i="8"/>
  <c r="M226" i="8"/>
  <c r="L227" i="8"/>
  <c r="M227" i="8"/>
  <c r="L228" i="8"/>
  <c r="M228" i="8"/>
  <c r="F229" i="8"/>
  <c r="L230" i="8"/>
  <c r="M230" i="8"/>
  <c r="L231" i="8"/>
  <c r="M231" i="8"/>
  <c r="L232" i="8"/>
  <c r="M232" i="8"/>
  <c r="F233" i="8"/>
  <c r="L234" i="8"/>
  <c r="M234" i="8"/>
  <c r="L235" i="8"/>
  <c r="M235" i="8"/>
  <c r="L236" i="8"/>
  <c r="M236" i="8"/>
  <c r="L237" i="8"/>
  <c r="M237" i="8"/>
  <c r="L238" i="8"/>
  <c r="M238" i="8"/>
  <c r="M311" i="8" s="1"/>
  <c r="L239" i="8"/>
  <c r="L308" i="8" s="1"/>
  <c r="M239" i="8"/>
  <c r="L240" i="8"/>
  <c r="M240" i="8"/>
  <c r="M309" i="8" s="1"/>
  <c r="L241" i="8"/>
  <c r="L312" i="8" s="1"/>
  <c r="M241" i="8"/>
  <c r="F244" i="8"/>
  <c r="I245" i="8"/>
  <c r="L245" i="8"/>
  <c r="I246" i="8"/>
  <c r="L246" i="8"/>
  <c r="L247" i="8"/>
  <c r="M247" i="8"/>
  <c r="F248" i="8"/>
  <c r="L249" i="8"/>
  <c r="M249" i="8"/>
  <c r="L250" i="8"/>
  <c r="M250" i="8"/>
  <c r="L251" i="8"/>
  <c r="M251" i="8"/>
  <c r="I252" i="8"/>
  <c r="L252" i="8"/>
  <c r="L253" i="8"/>
  <c r="M253" i="8"/>
  <c r="L254" i="8"/>
  <c r="L255" i="8"/>
  <c r="M255" i="8"/>
  <c r="L256" i="8"/>
  <c r="M256" i="8"/>
  <c r="L257" i="8"/>
  <c r="M257" i="8"/>
  <c r="L258" i="8"/>
  <c r="M258" i="8"/>
  <c r="L259" i="8"/>
  <c r="M259" i="8"/>
  <c r="L260" i="8"/>
  <c r="M260" i="8"/>
  <c r="L261" i="8"/>
  <c r="M261" i="8"/>
  <c r="L262" i="8"/>
  <c r="M262" i="8"/>
  <c r="L263" i="8"/>
  <c r="M263" i="8"/>
  <c r="L264" i="8"/>
  <c r="M264" i="8"/>
  <c r="F265" i="8"/>
  <c r="I266" i="8"/>
  <c r="J266" i="8" s="1"/>
  <c r="I267" i="8"/>
  <c r="L267" i="8"/>
  <c r="I268" i="8"/>
  <c r="L268" i="8"/>
  <c r="I269" i="8"/>
  <c r="L269" i="8"/>
  <c r="I270" i="8"/>
  <c r="L270" i="8"/>
  <c r="L271" i="8"/>
  <c r="M271" i="8"/>
  <c r="F273" i="8"/>
  <c r="L274" i="8"/>
  <c r="M274" i="8"/>
  <c r="M273" i="8" s="1"/>
  <c r="M275" i="8"/>
  <c r="M276" i="8"/>
  <c r="F277" i="8"/>
  <c r="L278" i="8"/>
  <c r="L277" i="8" s="1"/>
  <c r="M278" i="8"/>
  <c r="M277" i="8" s="1"/>
  <c r="F279" i="8"/>
  <c r="L280" i="8"/>
  <c r="M280" i="8"/>
  <c r="M279" i="8" s="1"/>
  <c r="F281" i="8"/>
  <c r="F315" i="8" s="1"/>
  <c r="E332" i="8" s="1"/>
  <c r="E33" i="11" s="1"/>
  <c r="L282" i="8"/>
  <c r="M282" i="8"/>
  <c r="L283" i="8"/>
  <c r="M283" i="8"/>
  <c r="F284" i="8"/>
  <c r="L285" i="8"/>
  <c r="M285" i="8"/>
  <c r="L286" i="8"/>
  <c r="M286" i="8"/>
  <c r="F287" i="8"/>
  <c r="F316" i="8" s="1"/>
  <c r="E333" i="8" s="1"/>
  <c r="E34" i="11" s="1"/>
  <c r="F289" i="8"/>
  <c r="F318" i="8" s="1"/>
  <c r="E335" i="8" s="1"/>
  <c r="E36" i="11" s="1"/>
  <c r="L290" i="8"/>
  <c r="M290" i="8"/>
  <c r="L291" i="8"/>
  <c r="M291" i="8"/>
  <c r="L292" i="8"/>
  <c r="M292" i="8"/>
  <c r="L293" i="8"/>
  <c r="M293" i="8"/>
  <c r="L294" i="8"/>
  <c r="M294" i="8"/>
  <c r="L295" i="8"/>
  <c r="M295" i="8"/>
  <c r="L296" i="8"/>
  <c r="M296" i="8"/>
  <c r="L297" i="8"/>
  <c r="M297" i="8"/>
  <c r="F308" i="8"/>
  <c r="M308" i="8"/>
  <c r="F309" i="8"/>
  <c r="F311" i="8"/>
  <c r="F312" i="8"/>
  <c r="M312" i="8"/>
  <c r="F198" i="8" l="1"/>
  <c r="E330" i="8" s="1"/>
  <c r="E31" i="11" s="1"/>
  <c r="M252" i="8"/>
  <c r="M248" i="8" s="1"/>
  <c r="O248" i="8" s="1"/>
  <c r="J252" i="8"/>
  <c r="M57" i="8"/>
  <c r="K57" i="8" s="1"/>
  <c r="J57" i="8"/>
  <c r="M12" i="8"/>
  <c r="K12" i="8" s="1"/>
  <c r="J12" i="8"/>
  <c r="M245" i="8"/>
  <c r="J245" i="8"/>
  <c r="M142" i="8"/>
  <c r="K142" i="8" s="1"/>
  <c r="J142" i="8"/>
  <c r="M56" i="8"/>
  <c r="M52" i="8" s="1"/>
  <c r="J56" i="8"/>
  <c r="M41" i="8"/>
  <c r="K41" i="8" s="1"/>
  <c r="J41" i="8"/>
  <c r="M11" i="8"/>
  <c r="J11" i="8"/>
  <c r="M270" i="8"/>
  <c r="K270" i="8" s="1"/>
  <c r="J270" i="8"/>
  <c r="M215" i="8"/>
  <c r="K215" i="8" s="1"/>
  <c r="J215" i="8"/>
  <c r="M141" i="8"/>
  <c r="K141" i="8" s="1"/>
  <c r="J141" i="8"/>
  <c r="M32" i="8"/>
  <c r="K32" i="8" s="1"/>
  <c r="J32" i="8"/>
  <c r="M25" i="8"/>
  <c r="K25" i="8" s="1"/>
  <c r="J25" i="8"/>
  <c r="M19" i="8"/>
  <c r="J19" i="8"/>
  <c r="M37" i="8"/>
  <c r="K37" i="8" s="1"/>
  <c r="J37" i="8"/>
  <c r="M27" i="8"/>
  <c r="K27" i="8" s="1"/>
  <c r="J27" i="8"/>
  <c r="M26" i="8"/>
  <c r="K26" i="8" s="1"/>
  <c r="J26" i="8"/>
  <c r="M269" i="8"/>
  <c r="K269" i="8" s="1"/>
  <c r="J269" i="8"/>
  <c r="M140" i="8"/>
  <c r="K140" i="8" s="1"/>
  <c r="J140" i="8"/>
  <c r="M30" i="8"/>
  <c r="K30" i="8" s="1"/>
  <c r="J30" i="8"/>
  <c r="M24" i="8"/>
  <c r="K24" i="8" s="1"/>
  <c r="J24" i="8"/>
  <c r="M18" i="8"/>
  <c r="K18" i="8" s="1"/>
  <c r="J18" i="8"/>
  <c r="M35" i="8"/>
  <c r="K35" i="8" s="1"/>
  <c r="J35" i="8"/>
  <c r="M20" i="8"/>
  <c r="K20" i="8" s="1"/>
  <c r="J20" i="8"/>
  <c r="M54" i="8"/>
  <c r="J54" i="8"/>
  <c r="M39" i="8"/>
  <c r="K39" i="8" s="1"/>
  <c r="J39" i="8"/>
  <c r="M21" i="8"/>
  <c r="K21" i="8" s="1"/>
  <c r="J21" i="8"/>
  <c r="M29" i="8"/>
  <c r="K29" i="8" s="1"/>
  <c r="J29" i="8"/>
  <c r="M23" i="8"/>
  <c r="K23" i="8" s="1"/>
  <c r="J23" i="8"/>
  <c r="M40" i="8"/>
  <c r="K40" i="8" s="1"/>
  <c r="J40" i="8"/>
  <c r="M145" i="8"/>
  <c r="J145" i="8"/>
  <c r="M53" i="8"/>
  <c r="K53" i="8" s="1"/>
  <c r="J53" i="8"/>
  <c r="M38" i="8"/>
  <c r="K38" i="8" s="1"/>
  <c r="J38" i="8"/>
  <c r="M14" i="8"/>
  <c r="K14" i="8" s="1"/>
  <c r="J14" i="8"/>
  <c r="M13" i="8"/>
  <c r="K13" i="8" s="1"/>
  <c r="J13" i="8"/>
  <c r="M246" i="8"/>
  <c r="K246" i="8" s="1"/>
  <c r="J246" i="8"/>
  <c r="M44" i="8"/>
  <c r="K44" i="8" s="1"/>
  <c r="J44" i="8"/>
  <c r="M48" i="8"/>
  <c r="K48" i="8" s="1"/>
  <c r="J48" i="8"/>
  <c r="M10" i="8"/>
  <c r="J10" i="8"/>
  <c r="M268" i="8"/>
  <c r="K268" i="8" s="1"/>
  <c r="J268" i="8"/>
  <c r="M267" i="8"/>
  <c r="K267" i="8" s="1"/>
  <c r="J267" i="8"/>
  <c r="M28" i="8"/>
  <c r="K28" i="8" s="1"/>
  <c r="J28" i="8"/>
  <c r="M22" i="8"/>
  <c r="J22" i="8"/>
  <c r="H78" i="11"/>
  <c r="H11" i="11" s="1"/>
  <c r="I11" i="11" s="1"/>
  <c r="K147" i="10"/>
  <c r="I78" i="11" s="1"/>
  <c r="H147" i="10"/>
  <c r="G78" i="11" s="1"/>
  <c r="F78" i="11"/>
  <c r="F11" i="11" s="1"/>
  <c r="K286" i="8"/>
  <c r="K138" i="8"/>
  <c r="K101" i="8"/>
  <c r="F66" i="8"/>
  <c r="K262" i="8"/>
  <c r="K167" i="8"/>
  <c r="K117" i="8"/>
  <c r="K11" i="8"/>
  <c r="K55" i="8"/>
  <c r="K63" i="8"/>
  <c r="K46" i="8"/>
  <c r="K49" i="8"/>
  <c r="M67" i="8"/>
  <c r="K133" i="8"/>
  <c r="F124" i="8"/>
  <c r="K214" i="8"/>
  <c r="K227" i="8"/>
  <c r="K223" i="8"/>
  <c r="K293" i="8"/>
  <c r="K102" i="8"/>
  <c r="F8" i="8"/>
  <c r="K251" i="8"/>
  <c r="F317" i="8"/>
  <c r="K97" i="8"/>
  <c r="M129" i="8"/>
  <c r="K80" i="8"/>
  <c r="K203" i="8"/>
  <c r="K182" i="8"/>
  <c r="K155" i="8"/>
  <c r="K209" i="8"/>
  <c r="K235" i="8"/>
  <c r="K193" i="8"/>
  <c r="L229" i="8"/>
  <c r="K216" i="8"/>
  <c r="K149" i="8"/>
  <c r="K146" i="8"/>
  <c r="K237" i="8"/>
  <c r="F43" i="8"/>
  <c r="K258" i="8"/>
  <c r="K51" i="8"/>
  <c r="L125" i="8"/>
  <c r="K95" i="8"/>
  <c r="K106" i="8"/>
  <c r="K100" i="8"/>
  <c r="K104" i="8"/>
  <c r="K74" i="8"/>
  <c r="K83" i="8"/>
  <c r="K70" i="8"/>
  <c r="L206" i="8"/>
  <c r="K188" i="8"/>
  <c r="K171" i="8"/>
  <c r="K166" i="8"/>
  <c r="K112" i="8"/>
  <c r="K99" i="8"/>
  <c r="F321" i="8"/>
  <c r="K160" i="8"/>
  <c r="K114" i="8"/>
  <c r="K82" i="8"/>
  <c r="K230" i="8"/>
  <c r="K226" i="8"/>
  <c r="K168" i="8"/>
  <c r="K154" i="8"/>
  <c r="K150" i="8"/>
  <c r="L144" i="8"/>
  <c r="K128" i="8"/>
  <c r="K73" i="8"/>
  <c r="L9" i="8"/>
  <c r="L8" i="8" s="1"/>
  <c r="K296" i="8"/>
  <c r="K225" i="8"/>
  <c r="K189" i="8"/>
  <c r="K185" i="8"/>
  <c r="M144" i="8"/>
  <c r="K135" i="8"/>
  <c r="K121" i="8"/>
  <c r="K113" i="8"/>
  <c r="K81" i="8"/>
  <c r="M71" i="8"/>
  <c r="K295" i="8"/>
  <c r="P312" i="8"/>
  <c r="K175" i="8"/>
  <c r="K282" i="8"/>
  <c r="K253" i="8"/>
  <c r="K250" i="8"/>
  <c r="K228" i="8"/>
  <c r="K204" i="8"/>
  <c r="K190" i="8"/>
  <c r="K186" i="8"/>
  <c r="K169" i="8"/>
  <c r="K165" i="8"/>
  <c r="K143" i="8"/>
  <c r="K98" i="8"/>
  <c r="F93" i="8"/>
  <c r="K88" i="8"/>
  <c r="K183" i="8"/>
  <c r="K292" i="8"/>
  <c r="K261" i="8"/>
  <c r="K257" i="8"/>
  <c r="K181" i="8"/>
  <c r="K159" i="8"/>
  <c r="K147" i="8"/>
  <c r="K131" i="8"/>
  <c r="K105" i="8"/>
  <c r="K64" i="8"/>
  <c r="K45" i="8"/>
  <c r="K179" i="8"/>
  <c r="K180" i="8"/>
  <c r="M281" i="8"/>
  <c r="M315" i="8" s="1"/>
  <c r="K285" i="8"/>
  <c r="K256" i="8"/>
  <c r="K90" i="8"/>
  <c r="K126" i="8"/>
  <c r="K103" i="8"/>
  <c r="K77" i="8"/>
  <c r="K241" i="8"/>
  <c r="K312" i="8" s="1"/>
  <c r="O312" i="8" s="1"/>
  <c r="K107" i="8"/>
  <c r="K232" i="8"/>
  <c r="K213" i="8"/>
  <c r="K205" i="8"/>
  <c r="K156" i="8"/>
  <c r="K136" i="8"/>
  <c r="M125" i="8"/>
  <c r="K89" i="8"/>
  <c r="K72" i="8"/>
  <c r="K68" i="8"/>
  <c r="K62" i="8"/>
  <c r="Q309" i="8"/>
  <c r="M321" i="8"/>
  <c r="L289" i="8"/>
  <c r="L318" i="8" s="1"/>
  <c r="L184" i="8"/>
  <c r="Q312" i="8"/>
  <c r="K294" i="8"/>
  <c r="K255" i="8"/>
  <c r="F243" i="8"/>
  <c r="F314" i="8" s="1"/>
  <c r="E331" i="8" s="1"/>
  <c r="E32" i="11" s="1"/>
  <c r="K231" i="8"/>
  <c r="K221" i="8"/>
  <c r="K191" i="8"/>
  <c r="M184" i="8"/>
  <c r="K152" i="8"/>
  <c r="K134" i="8"/>
  <c r="L110" i="8"/>
  <c r="K78" i="8"/>
  <c r="K60" i="8"/>
  <c r="F16" i="8"/>
  <c r="L86" i="8"/>
  <c r="Q311" i="8"/>
  <c r="K297" i="8"/>
  <c r="K247" i="8"/>
  <c r="M229" i="8"/>
  <c r="K224" i="8"/>
  <c r="K208" i="8"/>
  <c r="K194" i="8"/>
  <c r="M174" i="8"/>
  <c r="K151" i="8"/>
  <c r="K127" i="8"/>
  <c r="K122" i="8"/>
  <c r="K118" i="8"/>
  <c r="K84" i="8"/>
  <c r="L281" i="8"/>
  <c r="L315" i="8" s="1"/>
  <c r="K264" i="8"/>
  <c r="M206" i="8"/>
  <c r="L163" i="8"/>
  <c r="K109" i="8"/>
  <c r="L34" i="8"/>
  <c r="M218" i="8"/>
  <c r="M157" i="8"/>
  <c r="K54" i="8"/>
  <c r="L17" i="8"/>
  <c r="Q308" i="8"/>
  <c r="K278" i="8"/>
  <c r="K277" i="8" s="1"/>
  <c r="K263" i="8"/>
  <c r="K197" i="8"/>
  <c r="K161" i="8"/>
  <c r="K132" i="8"/>
  <c r="K120" i="8"/>
  <c r="K108" i="8"/>
  <c r="K47" i="8"/>
  <c r="K22" i="8"/>
  <c r="M284" i="8"/>
  <c r="M317" i="8" s="1"/>
  <c r="K271" i="8"/>
  <c r="K259" i="8"/>
  <c r="K249" i="8"/>
  <c r="K236" i="8"/>
  <c r="K222" i="8"/>
  <c r="K195" i="8"/>
  <c r="K192" i="8"/>
  <c r="K145" i="8"/>
  <c r="K119" i="8"/>
  <c r="L115" i="8"/>
  <c r="K91" i="8"/>
  <c r="K79" i="8"/>
  <c r="K61" i="8"/>
  <c r="K50" i="8"/>
  <c r="K187" i="8"/>
  <c r="L148" i="8"/>
  <c r="M289" i="8"/>
  <c r="M318" i="8" s="1"/>
  <c r="L265" i="8"/>
  <c r="K239" i="8"/>
  <c r="K308" i="8" s="1"/>
  <c r="K219" i="8"/>
  <c r="K212" i="8"/>
  <c r="K290" i="8"/>
  <c r="L279" i="8"/>
  <c r="K280" i="8"/>
  <c r="K279" i="8" s="1"/>
  <c r="K201" i="8"/>
  <c r="L199" i="8"/>
  <c r="K176" i="8"/>
  <c r="K158" i="8"/>
  <c r="F137" i="8"/>
  <c r="L94" i="8"/>
  <c r="K96" i="8"/>
  <c r="K238" i="8"/>
  <c r="K311" i="8" s="1"/>
  <c r="O311" i="8" s="1"/>
  <c r="L311" i="8"/>
  <c r="P311" i="8" s="1"/>
  <c r="K211" i="8"/>
  <c r="M199" i="8"/>
  <c r="K172" i="8"/>
  <c r="L170" i="8"/>
  <c r="M163" i="8"/>
  <c r="L157" i="8"/>
  <c r="L129" i="8"/>
  <c r="K130" i="8"/>
  <c r="M115" i="8"/>
  <c r="M94" i="8"/>
  <c r="L67" i="8"/>
  <c r="K69" i="8"/>
  <c r="M58" i="8"/>
  <c r="K59" i="8"/>
  <c r="L284" i="8"/>
  <c r="L317" i="8" s="1"/>
  <c r="K283" i="8"/>
  <c r="L248" i="8"/>
  <c r="L244" i="8"/>
  <c r="M170" i="8"/>
  <c r="M75" i="8"/>
  <c r="K76" i="8"/>
  <c r="L58" i="8"/>
  <c r="L273" i="8"/>
  <c r="K274" i="8"/>
  <c r="K273" i="8" s="1"/>
  <c r="L233" i="8"/>
  <c r="K234" i="8"/>
  <c r="K207" i="8"/>
  <c r="K200" i="8"/>
  <c r="K178" i="8"/>
  <c r="K164" i="8"/>
  <c r="K153" i="8"/>
  <c r="M148" i="8"/>
  <c r="M110" i="8"/>
  <c r="L75" i="8"/>
  <c r="K220" i="8"/>
  <c r="L218" i="8"/>
  <c r="L174" i="8"/>
  <c r="K177" i="8"/>
  <c r="M86" i="8"/>
  <c r="O86" i="8" s="1"/>
  <c r="K240" i="8"/>
  <c r="K309" i="8" s="1"/>
  <c r="O309" i="8" s="1"/>
  <c r="L309" i="8"/>
  <c r="K291" i="8"/>
  <c r="K202" i="8"/>
  <c r="P308" i="8"/>
  <c r="K260" i="8"/>
  <c r="M233" i="8"/>
  <c r="K173" i="8"/>
  <c r="L71" i="8"/>
  <c r="K10" i="8"/>
  <c r="L139" i="8"/>
  <c r="K116" i="8"/>
  <c r="K111" i="8"/>
  <c r="K87" i="8"/>
  <c r="L52" i="8"/>
  <c r="K252" i="8" l="1"/>
  <c r="K248" i="8" s="1"/>
  <c r="G11" i="11"/>
  <c r="M139" i="8"/>
  <c r="M137" i="8" s="1"/>
  <c r="O137" i="8" s="1"/>
  <c r="M244" i="8"/>
  <c r="O244" i="8" s="1"/>
  <c r="K245" i="8"/>
  <c r="K244" i="8" s="1"/>
  <c r="M9" i="8"/>
  <c r="M8" i="8" s="1"/>
  <c r="O8" i="8" s="1"/>
  <c r="M34" i="8"/>
  <c r="M17" i="8"/>
  <c r="M16" i="8" s="1"/>
  <c r="O16" i="8" s="1"/>
  <c r="K56" i="8"/>
  <c r="K52" i="8" s="1"/>
  <c r="M265" i="8"/>
  <c r="O265" i="8" s="1"/>
  <c r="K284" i="8"/>
  <c r="K317" i="8" s="1"/>
  <c r="O317" i="8" s="1"/>
  <c r="E334" i="8"/>
  <c r="E35" i="11" s="1"/>
  <c r="F322" i="8"/>
  <c r="K9" i="8"/>
  <c r="K8" i="8" s="1"/>
  <c r="M43" i="8"/>
  <c r="O43" i="8" s="1"/>
  <c r="Q321" i="8"/>
  <c r="M124" i="8"/>
  <c r="O124" i="8" s="1"/>
  <c r="L124" i="8"/>
  <c r="L321" i="8"/>
  <c r="P321" i="8" s="1"/>
  <c r="F305" i="8"/>
  <c r="K125" i="8"/>
  <c r="P318" i="8"/>
  <c r="H335" i="8"/>
  <c r="K335" i="8"/>
  <c r="L335" i="8" s="1"/>
  <c r="P315" i="8"/>
  <c r="H332" i="8"/>
  <c r="K332" i="8"/>
  <c r="L332" i="8" s="1"/>
  <c r="K144" i="8"/>
  <c r="K67" i="8"/>
  <c r="Q317" i="8"/>
  <c r="F334" i="8"/>
  <c r="H334" i="8"/>
  <c r="K334" i="8"/>
  <c r="Q318" i="8"/>
  <c r="F335" i="8"/>
  <c r="Q315" i="8"/>
  <c r="F332" i="8"/>
  <c r="K229" i="8"/>
  <c r="F7" i="8"/>
  <c r="R7" i="8" s="1"/>
  <c r="M66" i="8"/>
  <c r="K115" i="8"/>
  <c r="K110" i="8"/>
  <c r="K170" i="8"/>
  <c r="L93" i="8"/>
  <c r="K184" i="8"/>
  <c r="F65" i="8"/>
  <c r="K71" i="8"/>
  <c r="K281" i="8"/>
  <c r="K315" i="8" s="1"/>
  <c r="O315" i="8" s="1"/>
  <c r="K206" i="8"/>
  <c r="K289" i="8"/>
  <c r="K318" i="8" s="1"/>
  <c r="O318" i="8" s="1"/>
  <c r="K34" i="8"/>
  <c r="K58" i="8"/>
  <c r="K157" i="8"/>
  <c r="M322" i="8"/>
  <c r="K139" i="8"/>
  <c r="L43" i="8"/>
  <c r="L162" i="8"/>
  <c r="L305" i="8" s="1"/>
  <c r="K148" i="8"/>
  <c r="K163" i="8"/>
  <c r="K129" i="8"/>
  <c r="K75" i="8"/>
  <c r="K174" i="8"/>
  <c r="K86" i="8"/>
  <c r="L16" i="8"/>
  <c r="K233" i="8"/>
  <c r="K17" i="8"/>
  <c r="L137" i="8"/>
  <c r="K94" i="8"/>
  <c r="P309" i="8"/>
  <c r="M162" i="8"/>
  <c r="K199" i="8"/>
  <c r="L243" i="8"/>
  <c r="L314" i="8" s="1"/>
  <c r="L66" i="8"/>
  <c r="M93" i="8"/>
  <c r="K218" i="8"/>
  <c r="P317" i="8"/>
  <c r="L322" i="8"/>
  <c r="K321" i="8"/>
  <c r="O321" i="8" s="1"/>
  <c r="O308" i="8"/>
  <c r="K265" i="8"/>
  <c r="M243" i="8" l="1"/>
  <c r="M314" i="8" s="1"/>
  <c r="L334" i="8"/>
  <c r="K124" i="8"/>
  <c r="K322" i="8"/>
  <c r="O322" i="8" s="1"/>
  <c r="K43" i="8"/>
  <c r="K16" i="8"/>
  <c r="P322" i="8"/>
  <c r="F306" i="8"/>
  <c r="P305" i="8"/>
  <c r="F304" i="8"/>
  <c r="F303" i="8" s="1"/>
  <c r="M7" i="8"/>
  <c r="M304" i="8" s="1"/>
  <c r="L7" i="8"/>
  <c r="L304" i="8" s="1"/>
  <c r="L303" i="8" s="1"/>
  <c r="F35" i="11"/>
  <c r="G334" i="8"/>
  <c r="G35" i="11" s="1"/>
  <c r="F36" i="11"/>
  <c r="G335" i="8"/>
  <c r="G36" i="11" s="1"/>
  <c r="F33" i="11"/>
  <c r="G332" i="8"/>
  <c r="G33" i="11" s="1"/>
  <c r="M305" i="8"/>
  <c r="Q305" i="8" s="1"/>
  <c r="O162" i="8"/>
  <c r="H35" i="11"/>
  <c r="H21" i="11" s="1"/>
  <c r="I334" i="8"/>
  <c r="I35" i="11" s="1"/>
  <c r="K93" i="8"/>
  <c r="K137" i="8"/>
  <c r="Q322" i="8"/>
  <c r="I332" i="8"/>
  <c r="I33" i="11" s="1"/>
  <c r="H33" i="11"/>
  <c r="P314" i="8"/>
  <c r="H331" i="8"/>
  <c r="K331" i="8"/>
  <c r="L331" i="8" s="1"/>
  <c r="I335" i="8"/>
  <c r="I36" i="11" s="1"/>
  <c r="H36" i="11"/>
  <c r="H22" i="11" s="1"/>
  <c r="K162" i="8"/>
  <c r="K305" i="8" s="1"/>
  <c r="O305" i="8" s="1"/>
  <c r="M65" i="8"/>
  <c r="I288" i="8" s="1"/>
  <c r="O93" i="8"/>
  <c r="K66" i="8"/>
  <c r="K243" i="8"/>
  <c r="K314" i="8" s="1"/>
  <c r="O314" i="8" s="1"/>
  <c r="L65" i="8"/>
  <c r="H288" i="8" s="1"/>
  <c r="L288" i="8" s="1"/>
  <c r="O243" i="8" l="1"/>
  <c r="F302" i="8"/>
  <c r="E329" i="8" s="1"/>
  <c r="E336" i="8" s="1"/>
  <c r="E37" i="11" s="1"/>
  <c r="E7" i="11" s="1"/>
  <c r="M288" i="8"/>
  <c r="M287" i="8" s="1"/>
  <c r="M316" i="8" s="1"/>
  <c r="F333" i="8" s="1"/>
  <c r="J288" i="8"/>
  <c r="K7" i="8"/>
  <c r="G217" i="8" s="1"/>
  <c r="I217" i="8"/>
  <c r="O65" i="8"/>
  <c r="M306" i="8"/>
  <c r="Q306" i="8" s="1"/>
  <c r="H217" i="8"/>
  <c r="L217" i="8" s="1"/>
  <c r="L210" i="8" s="1"/>
  <c r="L198" i="8" s="1"/>
  <c r="L310" i="8" s="1"/>
  <c r="L307" i="8" s="1"/>
  <c r="P304" i="8"/>
  <c r="K65" i="8"/>
  <c r="G288" i="8" s="1"/>
  <c r="Q314" i="8"/>
  <c r="F331" i="8"/>
  <c r="I331" i="8"/>
  <c r="I32" i="11" s="1"/>
  <c r="H32" i="11"/>
  <c r="L306" i="8"/>
  <c r="P306" i="8" s="1"/>
  <c r="P303" i="8"/>
  <c r="L287" i="8"/>
  <c r="L316" i="8" s="1"/>
  <c r="Q304" i="8"/>
  <c r="M303" i="8"/>
  <c r="E30" i="11" l="1"/>
  <c r="F319" i="8"/>
  <c r="F320" i="8" s="1"/>
  <c r="Q316" i="8"/>
  <c r="K288" i="8"/>
  <c r="K287" i="8" s="1"/>
  <c r="K316" i="8" s="1"/>
  <c r="O316" i="8" s="1"/>
  <c r="M217" i="8"/>
  <c r="M210" i="8" s="1"/>
  <c r="M198" i="8" s="1"/>
  <c r="M310" i="8" s="1"/>
  <c r="J217" i="8"/>
  <c r="K304" i="8"/>
  <c r="K303" i="8" s="1"/>
  <c r="K306" i="8"/>
  <c r="O306" i="8" s="1"/>
  <c r="P310" i="8"/>
  <c r="F32" i="11"/>
  <c r="G331" i="8"/>
  <c r="G32" i="11" s="1"/>
  <c r="F34" i="11"/>
  <c r="G333" i="8"/>
  <c r="G34" i="11" s="1"/>
  <c r="P307" i="8"/>
  <c r="K330" i="8"/>
  <c r="L330" i="8" s="1"/>
  <c r="H330" i="8"/>
  <c r="P316" i="8"/>
  <c r="K333" i="8"/>
  <c r="L333" i="8" s="1"/>
  <c r="H333" i="8"/>
  <c r="L302" i="8"/>
  <c r="M302" i="8"/>
  <c r="F329" i="8" s="1"/>
  <c r="G329" i="8" s="1"/>
  <c r="G30" i="11" s="1"/>
  <c r="Q303" i="8"/>
  <c r="K217" i="8" l="1"/>
  <c r="K210" i="8" s="1"/>
  <c r="K198" i="8" s="1"/>
  <c r="K310" i="8" s="1"/>
  <c r="K307" i="8" s="1"/>
  <c r="O307" i="8" s="1"/>
  <c r="Q310" i="8"/>
  <c r="M307" i="8"/>
  <c r="Q307" i="8"/>
  <c r="J6" i="8"/>
  <c r="P7" i="11" s="1"/>
  <c r="J5" i="8"/>
  <c r="O7" i="11" s="1"/>
  <c r="O12" i="11" s="1"/>
  <c r="K302" i="8"/>
  <c r="O302" i="8" s="1"/>
  <c r="O303" i="8"/>
  <c r="O304" i="8"/>
  <c r="F330" i="8"/>
  <c r="G330" i="8" s="1"/>
  <c r="G31" i="11" s="1"/>
  <c r="I330" i="8"/>
  <c r="I31" i="11" s="1"/>
  <c r="H31" i="11"/>
  <c r="F30" i="11"/>
  <c r="L319" i="8"/>
  <c r="L320" i="8" s="1"/>
  <c r="P320" i="8" s="1"/>
  <c r="K329" i="8"/>
  <c r="H329" i="8"/>
  <c r="I333" i="8"/>
  <c r="I34" i="11" s="1"/>
  <c r="H34" i="11"/>
  <c r="H20" i="11" s="1"/>
  <c r="P302" i="8"/>
  <c r="M319" i="8"/>
  <c r="Q302" i="8"/>
  <c r="O310" i="8" l="1"/>
  <c r="P12" i="11"/>
  <c r="Q12" i="11" s="1"/>
  <c r="F336" i="8"/>
  <c r="G336" i="8" s="1"/>
  <c r="G37" i="11" s="1"/>
  <c r="F31" i="11"/>
  <c r="K319" i="8"/>
  <c r="K320" i="8" s="1"/>
  <c r="O320" i="8" s="1"/>
  <c r="P319" i="8"/>
  <c r="H30" i="11"/>
  <c r="I329" i="8"/>
  <c r="I30" i="11" s="1"/>
  <c r="H336" i="8"/>
  <c r="L329" i="8"/>
  <c r="K336" i="8"/>
  <c r="L336" i="8" s="1"/>
  <c r="Q319" i="8"/>
  <c r="M320" i="8"/>
  <c r="Q320" i="8" s="1"/>
  <c r="F37" i="11" l="1"/>
  <c r="F7" i="11" s="1"/>
  <c r="O319" i="8"/>
  <c r="I336" i="8"/>
  <c r="I37" i="11" s="1"/>
  <c r="H37" i="11"/>
  <c r="H7" i="11" s="1"/>
  <c r="I7" i="11" s="1"/>
  <c r="J8" i="7"/>
  <c r="F9" i="7"/>
  <c r="F8" i="7" s="1"/>
  <c r="I9" i="7"/>
  <c r="F10" i="7"/>
  <c r="J11" i="7"/>
  <c r="I12" i="7"/>
  <c r="J12" i="7"/>
  <c r="I13" i="7"/>
  <c r="J13" i="7"/>
  <c r="I14" i="7"/>
  <c r="J14" i="7"/>
  <c r="I15" i="7"/>
  <c r="J15" i="7"/>
  <c r="I16" i="7"/>
  <c r="J16" i="7"/>
  <c r="F18" i="7"/>
  <c r="F17" i="7" s="1"/>
  <c r="F77" i="7" s="1"/>
  <c r="I19" i="7"/>
  <c r="I18" i="7" s="1"/>
  <c r="I17" i="7" s="1"/>
  <c r="I77" i="7" s="1"/>
  <c r="F21" i="7"/>
  <c r="F20" i="7" s="1"/>
  <c r="F78" i="7" s="1"/>
  <c r="I22" i="7"/>
  <c r="I21" i="7" s="1"/>
  <c r="I20" i="7" s="1"/>
  <c r="I78" i="7" s="1"/>
  <c r="J78" i="7" s="1"/>
  <c r="I25" i="7"/>
  <c r="I26" i="7"/>
  <c r="I27" i="7"/>
  <c r="I28" i="7"/>
  <c r="I29" i="7"/>
  <c r="I30" i="7"/>
  <c r="F31" i="7"/>
  <c r="F24" i="7" s="1"/>
  <c r="F23" i="7" s="1"/>
  <c r="F79" i="7" s="1"/>
  <c r="I32" i="7"/>
  <c r="I33" i="7"/>
  <c r="I34" i="7"/>
  <c r="F35" i="7"/>
  <c r="I36" i="7"/>
  <c r="I37" i="7"/>
  <c r="I38" i="7"/>
  <c r="I39" i="7"/>
  <c r="I40" i="7"/>
  <c r="F42" i="7"/>
  <c r="F41" i="7" s="1"/>
  <c r="F80" i="7" s="1"/>
  <c r="I43" i="7"/>
  <c r="I42" i="7" s="1"/>
  <c r="I41" i="7" s="1"/>
  <c r="I80" i="7" s="1"/>
  <c r="J80" i="7" s="1"/>
  <c r="F45" i="7"/>
  <c r="F44" i="7" s="1"/>
  <c r="F81" i="7" s="1"/>
  <c r="I46" i="7"/>
  <c r="I45" i="7" s="1"/>
  <c r="I44" i="7" s="1"/>
  <c r="I81" i="7" s="1"/>
  <c r="F48" i="7"/>
  <c r="F47" i="7" s="1"/>
  <c r="F82" i="7" s="1"/>
  <c r="I49" i="7"/>
  <c r="I48" i="7" s="1"/>
  <c r="I47" i="7" s="1"/>
  <c r="I82" i="7" s="1"/>
  <c r="F51" i="7"/>
  <c r="F50" i="7" s="1"/>
  <c r="I52" i="7"/>
  <c r="I51" i="7" s="1"/>
  <c r="I50" i="7" s="1"/>
  <c r="F53" i="7"/>
  <c r="F86" i="7" s="1"/>
  <c r="E98" i="7" s="1"/>
  <c r="E47" i="11" s="1"/>
  <c r="E20" i="11" s="1"/>
  <c r="I20" i="11" s="1"/>
  <c r="I54" i="7"/>
  <c r="I53" i="7" s="1"/>
  <c r="I86" i="7" s="1"/>
  <c r="F55" i="7"/>
  <c r="F84" i="7" s="1"/>
  <c r="E96" i="7" s="1"/>
  <c r="E45" i="11" s="1"/>
  <c r="I56" i="7"/>
  <c r="I57" i="7"/>
  <c r="I58" i="7"/>
  <c r="I59" i="7"/>
  <c r="I60" i="7"/>
  <c r="I61" i="7"/>
  <c r="I62" i="7"/>
  <c r="I63" i="7"/>
  <c r="I64" i="7"/>
  <c r="F65" i="7"/>
  <c r="F87" i="7" s="1"/>
  <c r="E99" i="7" s="1"/>
  <c r="E48" i="11" s="1"/>
  <c r="E21" i="11" s="1"/>
  <c r="I21" i="11" s="1"/>
  <c r="I66" i="7"/>
  <c r="I65" i="7" s="1"/>
  <c r="I87" i="7" s="1"/>
  <c r="F67" i="7"/>
  <c r="F85" i="7" s="1"/>
  <c r="E97" i="7" s="1"/>
  <c r="E46" i="11" s="1"/>
  <c r="I68" i="7"/>
  <c r="I67" i="7" s="1"/>
  <c r="I85" i="7" s="1"/>
  <c r="F69" i="7"/>
  <c r="I70" i="7"/>
  <c r="I69" i="7" s="1"/>
  <c r="I88" i="7" s="1"/>
  <c r="F88" i="7"/>
  <c r="E100" i="7" s="1"/>
  <c r="E49" i="11" s="1"/>
  <c r="E22" i="11" s="1"/>
  <c r="I22" i="11" s="1"/>
  <c r="I35" i="7" l="1"/>
  <c r="I11" i="7"/>
  <c r="I10" i="7" s="1"/>
  <c r="G7" i="11"/>
  <c r="J86" i="7"/>
  <c r="F98" i="7"/>
  <c r="J10" i="7"/>
  <c r="F7" i="7"/>
  <c r="F75" i="7" s="1"/>
  <c r="F74" i="7" s="1"/>
  <c r="E94" i="7" s="1"/>
  <c r="E43" i="11" s="1"/>
  <c r="J7" i="7"/>
  <c r="J87" i="7"/>
  <c r="F99" i="7"/>
  <c r="J82" i="7"/>
  <c r="J88" i="7"/>
  <c r="F100" i="7"/>
  <c r="I8" i="7"/>
  <c r="I7" i="7" s="1"/>
  <c r="I75" i="7" s="1"/>
  <c r="J85" i="7"/>
  <c r="F97" i="7"/>
  <c r="I55" i="7"/>
  <c r="I84" i="7" s="1"/>
  <c r="J81" i="7"/>
  <c r="I31" i="7"/>
  <c r="J77" i="7"/>
  <c r="E95" i="7"/>
  <c r="E44" i="11" s="1"/>
  <c r="I24" i="7"/>
  <c r="F89" i="7"/>
  <c r="E101" i="7" s="1"/>
  <c r="E50" i="11" s="1"/>
  <c r="E8" i="11" s="1"/>
  <c r="I8" i="11" s="1"/>
  <c r="I23" i="7" l="1"/>
  <c r="I79" i="7" s="1"/>
  <c r="J79" i="7" s="1"/>
  <c r="G100" i="7"/>
  <c r="G49" i="11" s="1"/>
  <c r="F49" i="11"/>
  <c r="F22" i="11" s="1"/>
  <c r="F48" i="11"/>
  <c r="F21" i="11" s="1"/>
  <c r="G99" i="7"/>
  <c r="G48" i="11" s="1"/>
  <c r="J84" i="7"/>
  <c r="F96" i="7"/>
  <c r="F47" i="11"/>
  <c r="F20" i="11" s="1"/>
  <c r="G98" i="7"/>
  <c r="G47" i="11" s="1"/>
  <c r="F46" i="11"/>
  <c r="G97" i="7"/>
  <c r="G46" i="11" s="1"/>
  <c r="I74" i="7"/>
  <c r="F94" i="7" s="1"/>
  <c r="J75" i="7"/>
  <c r="I76" i="7" l="1"/>
  <c r="G21" i="11"/>
  <c r="M21" i="11"/>
  <c r="G20" i="11"/>
  <c r="M20" i="11"/>
  <c r="G22" i="11"/>
  <c r="M22" i="11"/>
  <c r="G94" i="7"/>
  <c r="G43" i="11" s="1"/>
  <c r="F43" i="11"/>
  <c r="F45" i="11"/>
  <c r="G96" i="7"/>
  <c r="G45" i="11" s="1"/>
  <c r="J76" i="7"/>
  <c r="F95" i="7"/>
  <c r="J74" i="7"/>
  <c r="I89" i="7"/>
  <c r="J89" i="7" l="1"/>
  <c r="F101" i="7"/>
  <c r="G95" i="7"/>
  <c r="G44" i="11" s="1"/>
  <c r="F44" i="11"/>
  <c r="E7" i="4"/>
  <c r="E318" i="4" s="1"/>
  <c r="E317" i="4" s="1"/>
  <c r="E334" i="4" s="1"/>
  <c r="E66" i="11" s="1"/>
  <c r="I8" i="4"/>
  <c r="M8" i="4"/>
  <c r="K8" i="4" s="1"/>
  <c r="I9" i="4"/>
  <c r="M9" i="4"/>
  <c r="J9" i="4" s="1"/>
  <c r="I10" i="4"/>
  <c r="M10" i="4"/>
  <c r="J10" i="4" s="1"/>
  <c r="I11" i="4"/>
  <c r="M11" i="4"/>
  <c r="J11" i="4" s="1"/>
  <c r="I12" i="4"/>
  <c r="M12" i="4"/>
  <c r="K12" i="4" s="1"/>
  <c r="I13" i="4"/>
  <c r="M13" i="4"/>
  <c r="J13" i="4" s="1"/>
  <c r="I14" i="4"/>
  <c r="M14" i="4"/>
  <c r="J14" i="4" s="1"/>
  <c r="I15" i="4"/>
  <c r="M15" i="4"/>
  <c r="J15" i="4" s="1"/>
  <c r="I16" i="4"/>
  <c r="M16" i="4"/>
  <c r="K16" i="4" s="1"/>
  <c r="I17" i="4"/>
  <c r="M17" i="4"/>
  <c r="J17" i="4" s="1"/>
  <c r="I18" i="4"/>
  <c r="M18" i="4"/>
  <c r="J18" i="4" s="1"/>
  <c r="I19" i="4"/>
  <c r="M19" i="4"/>
  <c r="J19" i="4" s="1"/>
  <c r="I20" i="4"/>
  <c r="M20" i="4"/>
  <c r="K20" i="4" s="1"/>
  <c r="I21" i="4"/>
  <c r="M21" i="4"/>
  <c r="J21" i="4" s="1"/>
  <c r="I22" i="4"/>
  <c r="M22" i="4"/>
  <c r="J22" i="4" s="1"/>
  <c r="I23" i="4"/>
  <c r="M23" i="4"/>
  <c r="J23" i="4" s="1"/>
  <c r="I24" i="4"/>
  <c r="M24" i="4"/>
  <c r="K24" i="4" s="1"/>
  <c r="I25" i="4"/>
  <c r="M25" i="4"/>
  <c r="J25" i="4" s="1"/>
  <c r="I26" i="4"/>
  <c r="M26" i="4"/>
  <c r="J26" i="4" s="1"/>
  <c r="I27" i="4"/>
  <c r="M27" i="4"/>
  <c r="J27" i="4" s="1"/>
  <c r="I28" i="4"/>
  <c r="M28" i="4"/>
  <c r="K28" i="4" s="1"/>
  <c r="I29" i="4"/>
  <c r="M29" i="4"/>
  <c r="J29" i="4" s="1"/>
  <c r="I30" i="4"/>
  <c r="M30" i="4"/>
  <c r="J30" i="4" s="1"/>
  <c r="J32" i="4"/>
  <c r="J320" i="4" s="1"/>
  <c r="E34" i="4"/>
  <c r="I35" i="4"/>
  <c r="M35" i="4"/>
  <c r="I36" i="4"/>
  <c r="M36" i="4"/>
  <c r="I37" i="4"/>
  <c r="M37" i="4"/>
  <c r="I38" i="4"/>
  <c r="M38" i="4"/>
  <c r="I39" i="4"/>
  <c r="M39" i="4"/>
  <c r="J39" i="4" s="1"/>
  <c r="E40" i="4"/>
  <c r="I41" i="4"/>
  <c r="M41" i="4"/>
  <c r="I42" i="4"/>
  <c r="M42" i="4"/>
  <c r="E43" i="4"/>
  <c r="I44" i="4"/>
  <c r="M44" i="4"/>
  <c r="I45" i="4"/>
  <c r="M45" i="4"/>
  <c r="K45" i="4" s="1"/>
  <c r="I46" i="4"/>
  <c r="M46" i="4"/>
  <c r="I47" i="4"/>
  <c r="M47" i="4"/>
  <c r="I48" i="4"/>
  <c r="M48" i="4"/>
  <c r="I49" i="4"/>
  <c r="M49" i="4"/>
  <c r="I50" i="4"/>
  <c r="M50" i="4"/>
  <c r="J50" i="4" s="1"/>
  <c r="I51" i="4"/>
  <c r="M51" i="4"/>
  <c r="E52" i="4"/>
  <c r="I53" i="4"/>
  <c r="M53" i="4"/>
  <c r="I54" i="4"/>
  <c r="M54" i="4"/>
  <c r="J54" i="4" s="1"/>
  <c r="I55" i="4"/>
  <c r="M55" i="4"/>
  <c r="E57" i="4"/>
  <c r="I58" i="4"/>
  <c r="M58" i="4"/>
  <c r="I59" i="4"/>
  <c r="M59" i="4"/>
  <c r="E60" i="4"/>
  <c r="I61" i="4"/>
  <c r="M61" i="4"/>
  <c r="E64" i="4"/>
  <c r="I65" i="4"/>
  <c r="M65" i="4"/>
  <c r="J65" i="4" s="1"/>
  <c r="I66" i="4"/>
  <c r="M66" i="4"/>
  <c r="J66" i="4" s="1"/>
  <c r="E67" i="4"/>
  <c r="I68" i="4"/>
  <c r="M68" i="4"/>
  <c r="L68" i="4" s="1"/>
  <c r="I69" i="4"/>
  <c r="M69" i="4"/>
  <c r="J69" i="4" s="1"/>
  <c r="I70" i="4"/>
  <c r="M70" i="4"/>
  <c r="E71" i="4"/>
  <c r="I72" i="4"/>
  <c r="M72" i="4"/>
  <c r="J72" i="4" s="1"/>
  <c r="I73" i="4"/>
  <c r="M73" i="4"/>
  <c r="J73" i="4" s="1"/>
  <c r="I74" i="4"/>
  <c r="M74" i="4"/>
  <c r="K74" i="4" s="1"/>
  <c r="I75" i="4"/>
  <c r="M75" i="4"/>
  <c r="J75" i="4" s="1"/>
  <c r="I76" i="4"/>
  <c r="M76" i="4"/>
  <c r="J76" i="4" s="1"/>
  <c r="E77" i="4"/>
  <c r="I78" i="4"/>
  <c r="M78" i="4"/>
  <c r="J78" i="4" s="1"/>
  <c r="I79" i="4"/>
  <c r="M79" i="4"/>
  <c r="J79" i="4" s="1"/>
  <c r="I80" i="4"/>
  <c r="M80" i="4"/>
  <c r="J80" i="4" s="1"/>
  <c r="I81" i="4"/>
  <c r="M81" i="4"/>
  <c r="E82" i="4"/>
  <c r="I83" i="4"/>
  <c r="M83" i="4"/>
  <c r="K83" i="4" s="1"/>
  <c r="I84" i="4"/>
  <c r="M84" i="4"/>
  <c r="J84" i="4" s="1"/>
  <c r="E85" i="4"/>
  <c r="I86" i="4"/>
  <c r="M86" i="4"/>
  <c r="K86" i="4" s="1"/>
  <c r="I87" i="4"/>
  <c r="M87" i="4"/>
  <c r="J87" i="4" s="1"/>
  <c r="I88" i="4"/>
  <c r="M88" i="4"/>
  <c r="I89" i="4"/>
  <c r="M89" i="4"/>
  <c r="J89" i="4" s="1"/>
  <c r="I90" i="4"/>
  <c r="M90" i="4"/>
  <c r="K90" i="4" s="1"/>
  <c r="E91" i="4"/>
  <c r="I92" i="4"/>
  <c r="M92" i="4"/>
  <c r="K92" i="4" s="1"/>
  <c r="I93" i="4"/>
  <c r="M93" i="4"/>
  <c r="J93" i="4" s="1"/>
  <c r="I94" i="4"/>
  <c r="M94" i="4"/>
  <c r="J94" i="4" s="1"/>
  <c r="I95" i="4"/>
  <c r="M95" i="4"/>
  <c r="J95" i="4" s="1"/>
  <c r="I96" i="4"/>
  <c r="M96" i="4"/>
  <c r="K96" i="4" s="1"/>
  <c r="I97" i="4"/>
  <c r="M97" i="4"/>
  <c r="J97" i="4" s="1"/>
  <c r="E98" i="4"/>
  <c r="I99" i="4"/>
  <c r="M99" i="4"/>
  <c r="I100" i="4"/>
  <c r="M100" i="4"/>
  <c r="K100" i="4" s="1"/>
  <c r="I101" i="4"/>
  <c r="M101" i="4"/>
  <c r="J101" i="4" s="1"/>
  <c r="E102" i="4"/>
  <c r="I103" i="4"/>
  <c r="M103" i="4"/>
  <c r="J103" i="4" s="1"/>
  <c r="I104" i="4"/>
  <c r="M104" i="4"/>
  <c r="L104" i="4" s="1"/>
  <c r="I105" i="4"/>
  <c r="M105" i="4"/>
  <c r="J105" i="4" s="1"/>
  <c r="E106" i="4"/>
  <c r="I107" i="4"/>
  <c r="M107" i="4"/>
  <c r="K107" i="4" s="1"/>
  <c r="I108" i="4"/>
  <c r="M108" i="4"/>
  <c r="I109" i="4"/>
  <c r="M109" i="4"/>
  <c r="K109" i="4" s="1"/>
  <c r="I112" i="4"/>
  <c r="M112" i="4"/>
  <c r="K112" i="4" s="1"/>
  <c r="I113" i="4"/>
  <c r="M113" i="4"/>
  <c r="I114" i="4"/>
  <c r="M114" i="4"/>
  <c r="K114" i="4" s="1"/>
  <c r="E115" i="4"/>
  <c r="E111" i="4" s="1"/>
  <c r="I116" i="4"/>
  <c r="M116" i="4"/>
  <c r="J116" i="4" s="1"/>
  <c r="I117" i="4"/>
  <c r="M117" i="4"/>
  <c r="K117" i="4" s="1"/>
  <c r="I118" i="4"/>
  <c r="M118" i="4"/>
  <c r="J118" i="4" s="1"/>
  <c r="E120" i="4"/>
  <c r="I121" i="4"/>
  <c r="M121" i="4"/>
  <c r="J121" i="4" s="1"/>
  <c r="I122" i="4"/>
  <c r="M122" i="4"/>
  <c r="J122" i="4" s="1"/>
  <c r="I123" i="4"/>
  <c r="M123" i="4"/>
  <c r="J123" i="4" s="1"/>
  <c r="I124" i="4"/>
  <c r="M124" i="4"/>
  <c r="I125" i="4"/>
  <c r="M125" i="4"/>
  <c r="J125" i="4" s="1"/>
  <c r="I126" i="4"/>
  <c r="M126" i="4"/>
  <c r="J126" i="4" s="1"/>
  <c r="I127" i="4"/>
  <c r="M127" i="4"/>
  <c r="J127" i="4" s="1"/>
  <c r="I128" i="4"/>
  <c r="M128" i="4"/>
  <c r="J128" i="4" s="1"/>
  <c r="I129" i="4"/>
  <c r="M129" i="4"/>
  <c r="J129" i="4" s="1"/>
  <c r="I130" i="4"/>
  <c r="M130" i="4"/>
  <c r="J130" i="4" s="1"/>
  <c r="I131" i="4"/>
  <c r="M131" i="4"/>
  <c r="J131" i="4" s="1"/>
  <c r="I132" i="4"/>
  <c r="M132" i="4"/>
  <c r="J132" i="4" s="1"/>
  <c r="E133" i="4"/>
  <c r="I134" i="4"/>
  <c r="M134" i="4"/>
  <c r="J134" i="4" s="1"/>
  <c r="I135" i="4"/>
  <c r="M135" i="4"/>
  <c r="J135" i="4" s="1"/>
  <c r="I136" i="4"/>
  <c r="M136" i="4"/>
  <c r="I137" i="4"/>
  <c r="M137" i="4"/>
  <c r="K137" i="4" s="1"/>
  <c r="I138" i="4"/>
  <c r="M138" i="4"/>
  <c r="J138" i="4" s="1"/>
  <c r="I139" i="4"/>
  <c r="M139" i="4"/>
  <c r="J139" i="4" s="1"/>
  <c r="I140" i="4"/>
  <c r="M140" i="4"/>
  <c r="I141" i="4"/>
  <c r="M141" i="4"/>
  <c r="K141" i="4" s="1"/>
  <c r="I143" i="4"/>
  <c r="M143" i="4"/>
  <c r="J143" i="4" s="1"/>
  <c r="E144" i="4"/>
  <c r="I145" i="4"/>
  <c r="M145" i="4"/>
  <c r="J145" i="4" s="1"/>
  <c r="I146" i="4"/>
  <c r="M146" i="4"/>
  <c r="I147" i="4"/>
  <c r="M147" i="4"/>
  <c r="K147" i="4" s="1"/>
  <c r="I148" i="4"/>
  <c r="M148" i="4"/>
  <c r="L148" i="4" s="1"/>
  <c r="I149" i="4"/>
  <c r="M149" i="4"/>
  <c r="J149" i="4" s="1"/>
  <c r="I150" i="4"/>
  <c r="M150" i="4"/>
  <c r="I151" i="4"/>
  <c r="M151" i="4"/>
  <c r="K151" i="4" s="1"/>
  <c r="I153" i="4"/>
  <c r="M153" i="4"/>
  <c r="J153" i="4" s="1"/>
  <c r="M154" i="4"/>
  <c r="I155" i="4"/>
  <c r="M155" i="4"/>
  <c r="L155" i="4" s="1"/>
  <c r="I156" i="4"/>
  <c r="M156" i="4"/>
  <c r="E157" i="4"/>
  <c r="I158" i="4"/>
  <c r="M158" i="4"/>
  <c r="I159" i="4"/>
  <c r="M159" i="4"/>
  <c r="K159" i="4" s="1"/>
  <c r="I160" i="4"/>
  <c r="M160" i="4"/>
  <c r="J160" i="4" s="1"/>
  <c r="I161" i="4"/>
  <c r="M161" i="4"/>
  <c r="J161" i="4" s="1"/>
  <c r="E162" i="4"/>
  <c r="I163" i="4"/>
  <c r="M163" i="4"/>
  <c r="L163" i="4" s="1"/>
  <c r="I164" i="4"/>
  <c r="M164" i="4"/>
  <c r="J164" i="4" s="1"/>
  <c r="I165" i="4"/>
  <c r="M165" i="4"/>
  <c r="I166" i="4"/>
  <c r="M166" i="4"/>
  <c r="L166" i="4" s="1"/>
  <c r="I167" i="4"/>
  <c r="M167" i="4"/>
  <c r="L167" i="4" s="1"/>
  <c r="I168" i="4"/>
  <c r="M168" i="4"/>
  <c r="K168" i="4" s="1"/>
  <c r="I169" i="4"/>
  <c r="M169" i="4"/>
  <c r="I170" i="4"/>
  <c r="M170" i="4"/>
  <c r="L170" i="4" s="1"/>
  <c r="I171" i="4"/>
  <c r="M171" i="4"/>
  <c r="L171" i="4" s="1"/>
  <c r="I172" i="4"/>
  <c r="M172" i="4"/>
  <c r="J172" i="4" s="1"/>
  <c r="I173" i="4"/>
  <c r="M173" i="4"/>
  <c r="K173" i="4" s="1"/>
  <c r="I174" i="4"/>
  <c r="M174" i="4"/>
  <c r="L174" i="4" s="1"/>
  <c r="I175" i="4"/>
  <c r="M175" i="4"/>
  <c r="E176" i="4"/>
  <c r="I177" i="4"/>
  <c r="M177" i="4"/>
  <c r="K177" i="4" s="1"/>
  <c r="I178" i="4"/>
  <c r="M178" i="4"/>
  <c r="J178" i="4" s="1"/>
  <c r="I184" i="4"/>
  <c r="M184" i="4"/>
  <c r="J184" i="4" s="1"/>
  <c r="I185" i="4"/>
  <c r="M185" i="4"/>
  <c r="J185" i="4" s="1"/>
  <c r="I189" i="4"/>
  <c r="M189" i="4"/>
  <c r="J189" i="4" s="1"/>
  <c r="I195" i="4"/>
  <c r="M195" i="4"/>
  <c r="K195" i="4" s="1"/>
  <c r="I196" i="4"/>
  <c r="M196" i="4"/>
  <c r="J196" i="4" s="1"/>
  <c r="I197" i="4"/>
  <c r="M197" i="4"/>
  <c r="J197" i="4" s="1"/>
  <c r="E199" i="4"/>
  <c r="E198" i="4" s="1"/>
  <c r="I200" i="4"/>
  <c r="M200" i="4"/>
  <c r="K200" i="4" s="1"/>
  <c r="I201" i="4"/>
  <c r="M201" i="4"/>
  <c r="J201" i="4" s="1"/>
  <c r="I202" i="4"/>
  <c r="M202" i="4"/>
  <c r="J202" i="4" s="1"/>
  <c r="I203" i="4"/>
  <c r="M203" i="4"/>
  <c r="J203" i="4" s="1"/>
  <c r="E204" i="4"/>
  <c r="I205" i="4"/>
  <c r="M205" i="4"/>
  <c r="I206" i="4"/>
  <c r="M206" i="4"/>
  <c r="L206" i="4" s="1"/>
  <c r="I207" i="4"/>
  <c r="M207" i="4"/>
  <c r="E208" i="4"/>
  <c r="I209" i="4"/>
  <c r="I321" i="4" s="1"/>
  <c r="M209" i="4"/>
  <c r="K209" i="4" s="1"/>
  <c r="I210" i="4"/>
  <c r="I328" i="4" s="1"/>
  <c r="M210" i="4"/>
  <c r="J210" i="4" s="1"/>
  <c r="J328" i="4" s="1"/>
  <c r="E212" i="4"/>
  <c r="E325" i="4" s="1"/>
  <c r="I214" i="4"/>
  <c r="M214" i="4"/>
  <c r="I215" i="4"/>
  <c r="M215" i="4"/>
  <c r="L215" i="4" s="1"/>
  <c r="I216" i="4"/>
  <c r="M216" i="4"/>
  <c r="J216" i="4" s="1"/>
  <c r="I217" i="4"/>
  <c r="M217" i="4"/>
  <c r="L217" i="4" s="1"/>
  <c r="I218" i="4"/>
  <c r="M218" i="4"/>
  <c r="I219" i="4"/>
  <c r="M219" i="4"/>
  <c r="L219" i="4" s="1"/>
  <c r="I220" i="4"/>
  <c r="M220" i="4"/>
  <c r="J220" i="4" s="1"/>
  <c r="I221" i="4"/>
  <c r="M221" i="4"/>
  <c r="L221" i="4" s="1"/>
  <c r="I222" i="4"/>
  <c r="M222" i="4"/>
  <c r="I223" i="4"/>
  <c r="M223" i="4"/>
  <c r="L223" i="4" s="1"/>
  <c r="I224" i="4"/>
  <c r="M224" i="4"/>
  <c r="J224" i="4" s="1"/>
  <c r="I225" i="4"/>
  <c r="M225" i="4"/>
  <c r="L225" i="4" s="1"/>
  <c r="I226" i="4"/>
  <c r="M226" i="4"/>
  <c r="I227" i="4"/>
  <c r="M227" i="4"/>
  <c r="L227" i="4" s="1"/>
  <c r="I228" i="4"/>
  <c r="M228" i="4"/>
  <c r="L228" i="4" s="1"/>
  <c r="I229" i="4"/>
  <c r="M229" i="4"/>
  <c r="L229" i="4" s="1"/>
  <c r="I230" i="4"/>
  <c r="M230" i="4"/>
  <c r="L230" i="4" s="1"/>
  <c r="I231" i="4"/>
  <c r="M231" i="4"/>
  <c r="L231" i="4" s="1"/>
  <c r="I232" i="4"/>
  <c r="M232" i="4"/>
  <c r="L232" i="4" s="1"/>
  <c r="I233" i="4"/>
  <c r="M233" i="4"/>
  <c r="L233" i="4" s="1"/>
  <c r="I234" i="4"/>
  <c r="M234" i="4"/>
  <c r="L234" i="4" s="1"/>
  <c r="I235" i="4"/>
  <c r="M235" i="4"/>
  <c r="L235" i="4" s="1"/>
  <c r="I236" i="4"/>
  <c r="M236" i="4"/>
  <c r="K236" i="4" s="1"/>
  <c r="I237" i="4"/>
  <c r="M237" i="4"/>
  <c r="L237" i="4" s="1"/>
  <c r="I238" i="4"/>
  <c r="M238" i="4"/>
  <c r="L238" i="4" s="1"/>
  <c r="I239" i="4"/>
  <c r="M239" i="4"/>
  <c r="J239" i="4" s="1"/>
  <c r="I240" i="4"/>
  <c r="M240" i="4"/>
  <c r="K240" i="4" s="1"/>
  <c r="I241" i="4"/>
  <c r="M241" i="4"/>
  <c r="L241" i="4" s="1"/>
  <c r="I242" i="4"/>
  <c r="M242" i="4"/>
  <c r="I243" i="4"/>
  <c r="M243" i="4"/>
  <c r="J243" i="4" s="1"/>
  <c r="I244" i="4"/>
  <c r="M244" i="4"/>
  <c r="K244" i="4" s="1"/>
  <c r="I245" i="4"/>
  <c r="M245" i="4"/>
  <c r="L245" i="4" s="1"/>
  <c r="I246" i="4"/>
  <c r="M246" i="4"/>
  <c r="I247" i="4"/>
  <c r="M247" i="4"/>
  <c r="J247" i="4" s="1"/>
  <c r="I248" i="4"/>
  <c r="M248" i="4"/>
  <c r="K248" i="4" s="1"/>
  <c r="I249" i="4"/>
  <c r="M249" i="4"/>
  <c r="L249" i="4" s="1"/>
  <c r="I250" i="4"/>
  <c r="M250" i="4"/>
  <c r="I251" i="4"/>
  <c r="M251" i="4"/>
  <c r="J251" i="4" s="1"/>
  <c r="I252" i="4"/>
  <c r="M252" i="4"/>
  <c r="I253" i="4"/>
  <c r="M253" i="4"/>
  <c r="L253" i="4" s="1"/>
  <c r="I254" i="4"/>
  <c r="M254" i="4"/>
  <c r="J254" i="4" s="1"/>
  <c r="I255" i="4"/>
  <c r="M255" i="4"/>
  <c r="K255" i="4" s="1"/>
  <c r="I256" i="4"/>
  <c r="M256" i="4"/>
  <c r="I257" i="4"/>
  <c r="M257" i="4"/>
  <c r="L257" i="4" s="1"/>
  <c r="I258" i="4"/>
  <c r="M258" i="4"/>
  <c r="J258" i="4" s="1"/>
  <c r="I260" i="4"/>
  <c r="M260" i="4"/>
  <c r="K260" i="4" s="1"/>
  <c r="I261" i="4"/>
  <c r="M261" i="4"/>
  <c r="I262" i="4"/>
  <c r="M262" i="4"/>
  <c r="L262" i="4" s="1"/>
  <c r="I263" i="4"/>
  <c r="M263" i="4"/>
  <c r="J263" i="4" s="1"/>
  <c r="I264" i="4"/>
  <c r="M264" i="4"/>
  <c r="K264" i="4" s="1"/>
  <c r="I265" i="4"/>
  <c r="M265" i="4"/>
  <c r="K265" i="4" s="1"/>
  <c r="I266" i="4"/>
  <c r="M266" i="4"/>
  <c r="L266" i="4" s="1"/>
  <c r="I267" i="4"/>
  <c r="M267" i="4"/>
  <c r="J267" i="4" s="1"/>
  <c r="I268" i="4"/>
  <c r="M268" i="4"/>
  <c r="K268" i="4" s="1"/>
  <c r="E270" i="4"/>
  <c r="E326" i="4" s="1"/>
  <c r="I271" i="4"/>
  <c r="M271" i="4"/>
  <c r="J271" i="4" s="1"/>
  <c r="I272" i="4"/>
  <c r="M272" i="4"/>
  <c r="J272" i="4" s="1"/>
  <c r="I273" i="4"/>
  <c r="M273" i="4"/>
  <c r="K273" i="4" s="1"/>
  <c r="I274" i="4"/>
  <c r="M274" i="4"/>
  <c r="L274" i="4" s="1"/>
  <c r="I275" i="4"/>
  <c r="M275" i="4"/>
  <c r="K275" i="4" s="1"/>
  <c r="I276" i="4"/>
  <c r="M276" i="4"/>
  <c r="J276" i="4" s="1"/>
  <c r="I277" i="4"/>
  <c r="M277" i="4"/>
  <c r="K277" i="4" s="1"/>
  <c r="I278" i="4"/>
  <c r="M278" i="4"/>
  <c r="J278" i="4" s="1"/>
  <c r="I279" i="4"/>
  <c r="M279" i="4"/>
  <c r="K279" i="4" s="1"/>
  <c r="I280" i="4"/>
  <c r="M280" i="4"/>
  <c r="J280" i="4" s="1"/>
  <c r="I281" i="4"/>
  <c r="M281" i="4"/>
  <c r="K281" i="4" s="1"/>
  <c r="I282" i="4"/>
  <c r="M282" i="4"/>
  <c r="L282" i="4" s="1"/>
  <c r="I283" i="4"/>
  <c r="M283" i="4"/>
  <c r="K283" i="4" s="1"/>
  <c r="I284" i="4"/>
  <c r="M284" i="4"/>
  <c r="J284" i="4" s="1"/>
  <c r="I285" i="4"/>
  <c r="M285" i="4"/>
  <c r="K285" i="4" s="1"/>
  <c r="I286" i="4"/>
  <c r="M286" i="4"/>
  <c r="J286" i="4" s="1"/>
  <c r="I287" i="4"/>
  <c r="M287" i="4"/>
  <c r="K287" i="4" s="1"/>
  <c r="I288" i="4"/>
  <c r="M288" i="4"/>
  <c r="L288" i="4" s="1"/>
  <c r="I289" i="4"/>
  <c r="M289" i="4"/>
  <c r="K289" i="4" s="1"/>
  <c r="E291" i="4"/>
  <c r="E327" i="4" s="1"/>
  <c r="I292" i="4"/>
  <c r="M292" i="4"/>
  <c r="J292" i="4" s="1"/>
  <c r="I293" i="4"/>
  <c r="M293" i="4"/>
  <c r="L293" i="4" s="1"/>
  <c r="I294" i="4"/>
  <c r="M294" i="4"/>
  <c r="J294" i="4" s="1"/>
  <c r="I295" i="4"/>
  <c r="M295" i="4"/>
  <c r="L295" i="4" s="1"/>
  <c r="I296" i="4"/>
  <c r="M296" i="4"/>
  <c r="J296" i="4" s="1"/>
  <c r="I297" i="4"/>
  <c r="M297" i="4"/>
  <c r="L297" i="4" s="1"/>
  <c r="I298" i="4"/>
  <c r="M298" i="4"/>
  <c r="J298" i="4" s="1"/>
  <c r="I299" i="4"/>
  <c r="M299" i="4"/>
  <c r="L299" i="4" s="1"/>
  <c r="I300" i="4"/>
  <c r="M300" i="4"/>
  <c r="J300" i="4" s="1"/>
  <c r="I301" i="4"/>
  <c r="M301" i="4"/>
  <c r="L301" i="4" s="1"/>
  <c r="I302" i="4"/>
  <c r="M302" i="4"/>
  <c r="J302" i="4" s="1"/>
  <c r="I303" i="4"/>
  <c r="M303" i="4"/>
  <c r="L303" i="4" s="1"/>
  <c r="I304" i="4"/>
  <c r="M304" i="4"/>
  <c r="J304" i="4" s="1"/>
  <c r="I305" i="4"/>
  <c r="M305" i="4"/>
  <c r="J305" i="4" s="1"/>
  <c r="I306" i="4"/>
  <c r="M306" i="4"/>
  <c r="J306" i="4" s="1"/>
  <c r="I307" i="4"/>
  <c r="M307" i="4"/>
  <c r="L307" i="4" s="1"/>
  <c r="I308" i="4"/>
  <c r="M308" i="4"/>
  <c r="J308" i="4" s="1"/>
  <c r="I309" i="4"/>
  <c r="M309" i="4"/>
  <c r="J309" i="4" s="1"/>
  <c r="I310" i="4"/>
  <c r="M310" i="4"/>
  <c r="J310" i="4" s="1"/>
  <c r="I311" i="4"/>
  <c r="M311" i="4"/>
  <c r="L311" i="4" s="1"/>
  <c r="I312" i="4"/>
  <c r="M312" i="4"/>
  <c r="J312" i="4" s="1"/>
  <c r="I313" i="4"/>
  <c r="M313" i="4"/>
  <c r="J313" i="4" s="1"/>
  <c r="E321" i="4"/>
  <c r="E328" i="4"/>
  <c r="K233" i="4" l="1"/>
  <c r="G101" i="7"/>
  <c r="G50" i="11" s="1"/>
  <c r="F50" i="11"/>
  <c r="F8" i="11" s="1"/>
  <c r="K59" i="4"/>
  <c r="J59" i="4"/>
  <c r="L51" i="4"/>
  <c r="J51" i="4"/>
  <c r="L280" i="4"/>
  <c r="N280" i="4" s="1"/>
  <c r="K38" i="4"/>
  <c r="J38" i="4"/>
  <c r="L304" i="4"/>
  <c r="N304" i="4" s="1"/>
  <c r="L87" i="4"/>
  <c r="I56" i="4"/>
  <c r="L44" i="4"/>
  <c r="J44" i="4"/>
  <c r="K37" i="4"/>
  <c r="J37" i="4"/>
  <c r="K231" i="4"/>
  <c r="K49" i="4"/>
  <c r="J49" i="4"/>
  <c r="K79" i="4"/>
  <c r="L55" i="4"/>
  <c r="J55" i="4"/>
  <c r="K36" i="4"/>
  <c r="J36" i="4"/>
  <c r="K247" i="4"/>
  <c r="L137" i="4"/>
  <c r="L109" i="4"/>
  <c r="L103" i="4"/>
  <c r="L97" i="4"/>
  <c r="K48" i="4"/>
  <c r="J48" i="4"/>
  <c r="K42" i="4"/>
  <c r="J42" i="4"/>
  <c r="K302" i="4"/>
  <c r="K35" i="4"/>
  <c r="J35" i="4"/>
  <c r="L271" i="4"/>
  <c r="K47" i="4"/>
  <c r="J47" i="4"/>
  <c r="L41" i="4"/>
  <c r="J41" i="4"/>
  <c r="L45" i="4"/>
  <c r="N45" i="4" s="1"/>
  <c r="J45" i="4"/>
  <c r="K249" i="4"/>
  <c r="N249" i="4" s="1"/>
  <c r="J227" i="4"/>
  <c r="K58" i="4"/>
  <c r="J58" i="4"/>
  <c r="K61" i="4"/>
  <c r="J61" i="4"/>
  <c r="K53" i="4"/>
  <c r="J53" i="4"/>
  <c r="K189" i="4"/>
  <c r="K101" i="4"/>
  <c r="K46" i="4"/>
  <c r="J46" i="4"/>
  <c r="K19" i="4"/>
  <c r="J282" i="4"/>
  <c r="L21" i="4"/>
  <c r="L278" i="4"/>
  <c r="N278" i="4" s="1"/>
  <c r="K262" i="4"/>
  <c r="J92" i="4"/>
  <c r="L80" i="4"/>
  <c r="L17" i="4"/>
  <c r="K210" i="4"/>
  <c r="K208" i="4" s="1"/>
  <c r="K27" i="4"/>
  <c r="L37" i="4"/>
  <c r="L283" i="4"/>
  <c r="K241" i="4"/>
  <c r="J90" i="4"/>
  <c r="K293" i="4"/>
  <c r="K288" i="4"/>
  <c r="L272" i="4"/>
  <c r="K228" i="4"/>
  <c r="K217" i="4"/>
  <c r="N217" i="4" s="1"/>
  <c r="L200" i="4"/>
  <c r="L196" i="4"/>
  <c r="L177" i="4"/>
  <c r="J170" i="4"/>
  <c r="L159" i="4"/>
  <c r="L141" i="4"/>
  <c r="N141" i="4" s="1"/>
  <c r="L114" i="4"/>
  <c r="K84" i="4"/>
  <c r="L313" i="4"/>
  <c r="K278" i="4"/>
  <c r="J200" i="4"/>
  <c r="J198" i="4" s="1"/>
  <c r="L145" i="4"/>
  <c r="K122" i="4"/>
  <c r="K23" i="4"/>
  <c r="K196" i="4"/>
  <c r="L210" i="4"/>
  <c r="L328" i="4" s="1"/>
  <c r="I198" i="4"/>
  <c r="K172" i="4"/>
  <c r="L161" i="4"/>
  <c r="N161" i="4" s="1"/>
  <c r="L129" i="4"/>
  <c r="L83" i="4"/>
  <c r="K68" i="4"/>
  <c r="K300" i="4"/>
  <c r="K116" i="4"/>
  <c r="I106" i="4"/>
  <c r="K89" i="4"/>
  <c r="L86" i="4"/>
  <c r="L79" i="4"/>
  <c r="N79" i="4" s="1"/>
  <c r="L61" i="4"/>
  <c r="K44" i="4"/>
  <c r="K310" i="4"/>
  <c r="J114" i="4"/>
  <c r="K215" i="4"/>
  <c r="L164" i="4"/>
  <c r="L147" i="4"/>
  <c r="K308" i="4"/>
  <c r="K282" i="4"/>
  <c r="J253" i="4"/>
  <c r="K239" i="4"/>
  <c r="K232" i="4"/>
  <c r="L189" i="4"/>
  <c r="K174" i="4"/>
  <c r="L135" i="4"/>
  <c r="N135" i="4" s="1"/>
  <c r="K131" i="4"/>
  <c r="K95" i="4"/>
  <c r="L46" i="4"/>
  <c r="L35" i="4"/>
  <c r="K15" i="4"/>
  <c r="K313" i="4"/>
  <c r="K297" i="4"/>
  <c r="N297" i="4" s="1"/>
  <c r="L286" i="4"/>
  <c r="L276" i="4"/>
  <c r="J274" i="4"/>
  <c r="J241" i="4"/>
  <c r="N241" i="4" s="1"/>
  <c r="K229" i="4"/>
  <c r="K220" i="4"/>
  <c r="J217" i="4"/>
  <c r="I204" i="4"/>
  <c r="L201" i="4"/>
  <c r="L195" i="4"/>
  <c r="K164" i="4"/>
  <c r="K161" i="4"/>
  <c r="L153" i="4"/>
  <c r="K139" i="4"/>
  <c r="E119" i="4"/>
  <c r="E110" i="4" s="1"/>
  <c r="E323" i="4" s="1"/>
  <c r="L118" i="4"/>
  <c r="L100" i="4"/>
  <c r="L94" i="4"/>
  <c r="J86" i="4"/>
  <c r="J83" i="4"/>
  <c r="K73" i="4"/>
  <c r="K65" i="4"/>
  <c r="L29" i="4"/>
  <c r="L13" i="4"/>
  <c r="K274" i="4"/>
  <c r="J297" i="4"/>
  <c r="K286" i="4"/>
  <c r="K276" i="4"/>
  <c r="J229" i="4"/>
  <c r="N229" i="4" s="1"/>
  <c r="K201" i="4"/>
  <c r="J195" i="4"/>
  <c r="K153" i="4"/>
  <c r="J100" i="4"/>
  <c r="K94" i="4"/>
  <c r="G321" i="4"/>
  <c r="L48" i="4"/>
  <c r="N48" i="4" s="1"/>
  <c r="L42" i="4"/>
  <c r="L25" i="4"/>
  <c r="L9" i="4"/>
  <c r="K224" i="4"/>
  <c r="L305" i="4"/>
  <c r="J288" i="4"/>
  <c r="N288" i="4" s="1"/>
  <c r="K280" i="4"/>
  <c r="K237" i="4"/>
  <c r="J231" i="4"/>
  <c r="L184" i="4"/>
  <c r="K148" i="4"/>
  <c r="J141" i="4"/>
  <c r="K135" i="4"/>
  <c r="L125" i="4"/>
  <c r="I111" i="4"/>
  <c r="J109" i="4"/>
  <c r="N109" i="4" s="1"/>
  <c r="L90" i="4"/>
  <c r="N90" i="4" s="1"/>
  <c r="L75" i="4"/>
  <c r="E33" i="4"/>
  <c r="K305" i="4"/>
  <c r="K184" i="4"/>
  <c r="J148" i="4"/>
  <c r="K11" i="4"/>
  <c r="E63" i="4"/>
  <c r="E62" i="4" s="1"/>
  <c r="E322" i="4" s="1"/>
  <c r="K272" i="4"/>
  <c r="L224" i="4"/>
  <c r="J215" i="4"/>
  <c r="K127" i="4"/>
  <c r="K104" i="4"/>
  <c r="M119" i="4"/>
  <c r="M56" i="4"/>
  <c r="J307" i="4"/>
  <c r="J289" i="4"/>
  <c r="J283" i="4"/>
  <c r="L279" i="4"/>
  <c r="J262" i="4"/>
  <c r="J249" i="4"/>
  <c r="K243" i="4"/>
  <c r="K235" i="4"/>
  <c r="J233" i="4"/>
  <c r="N233" i="4" s="1"/>
  <c r="K221" i="4"/>
  <c r="K219" i="4"/>
  <c r="J206" i="4"/>
  <c r="J177" i="4"/>
  <c r="L168" i="4"/>
  <c r="J166" i="4"/>
  <c r="J159" i="4"/>
  <c r="K155" i="4"/>
  <c r="L149" i="4"/>
  <c r="K145" i="4"/>
  <c r="J137" i="4"/>
  <c r="L121" i="4"/>
  <c r="J117" i="4"/>
  <c r="K105" i="4"/>
  <c r="I102" i="4"/>
  <c r="L93" i="4"/>
  <c r="K76" i="4"/>
  <c r="J68" i="4"/>
  <c r="L59" i="4"/>
  <c r="J28" i="4"/>
  <c r="J20" i="4"/>
  <c r="J12" i="4"/>
  <c r="K304" i="4"/>
  <c r="L298" i="4"/>
  <c r="J293" i="4"/>
  <c r="L284" i="4"/>
  <c r="L277" i="4"/>
  <c r="J273" i="4"/>
  <c r="L267" i="4"/>
  <c r="K257" i="4"/>
  <c r="K251" i="4"/>
  <c r="K245" i="4"/>
  <c r="J237" i="4"/>
  <c r="K225" i="4"/>
  <c r="K223" i="4"/>
  <c r="L216" i="4"/>
  <c r="L209" i="4"/>
  <c r="L321" i="4" s="1"/>
  <c r="L202" i="4"/>
  <c r="M198" i="4"/>
  <c r="L178" i="4"/>
  <c r="M176" i="4"/>
  <c r="J168" i="4"/>
  <c r="L160" i="4"/>
  <c r="L151" i="4"/>
  <c r="J147" i="4"/>
  <c r="L138" i="4"/>
  <c r="L134" i="4"/>
  <c r="K126" i="4"/>
  <c r="K123" i="4"/>
  <c r="L107" i="4"/>
  <c r="K80" i="4"/>
  <c r="L78" i="4"/>
  <c r="L69" i="4"/>
  <c r="K55" i="4"/>
  <c r="K51" i="4"/>
  <c r="N51" i="4" s="1"/>
  <c r="L36" i="4"/>
  <c r="K30" i="4"/>
  <c r="K22" i="4"/>
  <c r="K14" i="4"/>
  <c r="I7" i="4"/>
  <c r="I318" i="4" s="1"/>
  <c r="J155" i="4"/>
  <c r="M102" i="4"/>
  <c r="K298" i="4"/>
  <c r="I291" i="4"/>
  <c r="I327" i="4" s="1"/>
  <c r="G327" i="4" s="1"/>
  <c r="K284" i="4"/>
  <c r="J277" i="4"/>
  <c r="K267" i="4"/>
  <c r="J257" i="4"/>
  <c r="N257" i="4" s="1"/>
  <c r="J245" i="4"/>
  <c r="J225" i="4"/>
  <c r="J223" i="4"/>
  <c r="K216" i="4"/>
  <c r="N216" i="4" s="1"/>
  <c r="K202" i="4"/>
  <c r="K178" i="4"/>
  <c r="K160" i="4"/>
  <c r="J151" i="4"/>
  <c r="K138" i="4"/>
  <c r="K134" i="4"/>
  <c r="K78" i="4"/>
  <c r="K69" i="4"/>
  <c r="L308" i="4"/>
  <c r="N308" i="4" s="1"/>
  <c r="L300" i="4"/>
  <c r="J295" i="4"/>
  <c r="K227" i="4"/>
  <c r="N227" i="4" s="1"/>
  <c r="L220" i="4"/>
  <c r="E142" i="4"/>
  <c r="J104" i="4"/>
  <c r="L101" i="4"/>
  <c r="J96" i="4"/>
  <c r="L89" i="4"/>
  <c r="K87" i="4"/>
  <c r="K72" i="4"/>
  <c r="K66" i="4"/>
  <c r="L58" i="4"/>
  <c r="L47" i="4"/>
  <c r="J24" i="4"/>
  <c r="J16" i="4"/>
  <c r="J8" i="4"/>
  <c r="J235" i="4"/>
  <c r="J221" i="4"/>
  <c r="J219" i="4"/>
  <c r="I133" i="4"/>
  <c r="M111" i="4"/>
  <c r="J279" i="4"/>
  <c r="K149" i="4"/>
  <c r="E324" i="4"/>
  <c r="E336" i="4" s="1"/>
  <c r="E68" i="11" s="1"/>
  <c r="N189" i="4"/>
  <c r="L139" i="4"/>
  <c r="K130" i="4"/>
  <c r="L112" i="4"/>
  <c r="J74" i="4"/>
  <c r="K41" i="4"/>
  <c r="K26" i="4"/>
  <c r="K18" i="4"/>
  <c r="K10" i="4"/>
  <c r="M270" i="4"/>
  <c r="J250" i="4"/>
  <c r="K250" i="4"/>
  <c r="L252" i="4"/>
  <c r="J252" i="4"/>
  <c r="J311" i="4"/>
  <c r="K303" i="4"/>
  <c r="K296" i="4"/>
  <c r="L294" i="4"/>
  <c r="J287" i="4"/>
  <c r="L281" i="4"/>
  <c r="J266" i="4"/>
  <c r="L256" i="4"/>
  <c r="J256" i="4"/>
  <c r="L254" i="4"/>
  <c r="K252" i="4"/>
  <c r="J242" i="4"/>
  <c r="K242" i="4"/>
  <c r="E211" i="4"/>
  <c r="L296" i="4"/>
  <c r="L312" i="4"/>
  <c r="L306" i="4"/>
  <c r="J303" i="4"/>
  <c r="K294" i="4"/>
  <c r="L292" i="4"/>
  <c r="J281" i="4"/>
  <c r="L275" i="4"/>
  <c r="I270" i="4"/>
  <c r="I326" i="4" s="1"/>
  <c r="G326" i="4" s="1"/>
  <c r="L261" i="4"/>
  <c r="J261" i="4"/>
  <c r="L258" i="4"/>
  <c r="K256" i="4"/>
  <c r="K254" i="4"/>
  <c r="L242" i="4"/>
  <c r="J226" i="4"/>
  <c r="K226" i="4"/>
  <c r="J222" i="4"/>
  <c r="K222" i="4"/>
  <c r="J218" i="4"/>
  <c r="K218" i="4"/>
  <c r="M212" i="4"/>
  <c r="J214" i="4"/>
  <c r="K214" i="4"/>
  <c r="L287" i="4"/>
  <c r="J268" i="4"/>
  <c r="L268" i="4"/>
  <c r="L309" i="4"/>
  <c r="K301" i="4"/>
  <c r="K312" i="4"/>
  <c r="K309" i="4"/>
  <c r="K306" i="4"/>
  <c r="J301" i="4"/>
  <c r="K299" i="4"/>
  <c r="K292" i="4"/>
  <c r="L285" i="4"/>
  <c r="J275" i="4"/>
  <c r="L265" i="4"/>
  <c r="J265" i="4"/>
  <c r="L263" i="4"/>
  <c r="K261" i="4"/>
  <c r="K258" i="4"/>
  <c r="J230" i="4"/>
  <c r="K230" i="4"/>
  <c r="L226" i="4"/>
  <c r="L222" i="4"/>
  <c r="L218" i="4"/>
  <c r="L214" i="4"/>
  <c r="J299" i="4"/>
  <c r="J285" i="4"/>
  <c r="K263" i="4"/>
  <c r="J246" i="4"/>
  <c r="K246" i="4"/>
  <c r="J234" i="4"/>
  <c r="K234" i="4"/>
  <c r="I212" i="4"/>
  <c r="I325" i="4" s="1"/>
  <c r="J264" i="4"/>
  <c r="L264" i="4"/>
  <c r="K311" i="4"/>
  <c r="K266" i="4"/>
  <c r="L250" i="4"/>
  <c r="L310" i="4"/>
  <c r="K307" i="4"/>
  <c r="N307" i="4" s="1"/>
  <c r="L302" i="4"/>
  <c r="K295" i="4"/>
  <c r="L289" i="4"/>
  <c r="L273" i="4"/>
  <c r="J255" i="4"/>
  <c r="L255" i="4"/>
  <c r="K253" i="4"/>
  <c r="N253" i="4" s="1"/>
  <c r="L246" i="4"/>
  <c r="J156" i="4"/>
  <c r="K156" i="4"/>
  <c r="L156" i="4"/>
  <c r="M291" i="4"/>
  <c r="J260" i="4"/>
  <c r="L260" i="4"/>
  <c r="J238" i="4"/>
  <c r="K238" i="4"/>
  <c r="K271" i="4"/>
  <c r="J248" i="4"/>
  <c r="J244" i="4"/>
  <c r="J240" i="4"/>
  <c r="J236" i="4"/>
  <c r="J232" i="4"/>
  <c r="J228" i="4"/>
  <c r="K206" i="4"/>
  <c r="K185" i="4"/>
  <c r="L185" i="4"/>
  <c r="K170" i="4"/>
  <c r="N170" i="4" s="1"/>
  <c r="K166" i="4"/>
  <c r="I63" i="4"/>
  <c r="E56" i="4"/>
  <c r="I176" i="4"/>
  <c r="K128" i="4"/>
  <c r="L128" i="4"/>
  <c r="I33" i="4"/>
  <c r="J108" i="4"/>
  <c r="K108" i="4"/>
  <c r="L108" i="4"/>
  <c r="J99" i="4"/>
  <c r="K99" i="4"/>
  <c r="L99" i="4"/>
  <c r="M63" i="4"/>
  <c r="J209" i="4"/>
  <c r="J207" i="4"/>
  <c r="K207" i="4"/>
  <c r="L205" i="4"/>
  <c r="M204" i="4"/>
  <c r="J174" i="4"/>
  <c r="J169" i="4"/>
  <c r="L169" i="4"/>
  <c r="J165" i="4"/>
  <c r="L165" i="4"/>
  <c r="N159" i="4"/>
  <c r="J81" i="4"/>
  <c r="K81" i="4"/>
  <c r="L81" i="4"/>
  <c r="L251" i="4"/>
  <c r="L247" i="4"/>
  <c r="L243" i="4"/>
  <c r="L239" i="4"/>
  <c r="I208" i="4"/>
  <c r="L207" i="4"/>
  <c r="K205" i="4"/>
  <c r="K203" i="4"/>
  <c r="L203" i="4"/>
  <c r="K197" i="4"/>
  <c r="L197" i="4"/>
  <c r="J171" i="4"/>
  <c r="K171" i="4"/>
  <c r="K169" i="4"/>
  <c r="J167" i="4"/>
  <c r="K167" i="4"/>
  <c r="K165" i="4"/>
  <c r="J163" i="4"/>
  <c r="K163" i="4"/>
  <c r="J150" i="4"/>
  <c r="K150" i="4"/>
  <c r="L150" i="4"/>
  <c r="J146" i="4"/>
  <c r="K146" i="4"/>
  <c r="L146" i="4"/>
  <c r="K143" i="4"/>
  <c r="L143" i="4"/>
  <c r="M142" i="4"/>
  <c r="K132" i="4"/>
  <c r="L132" i="4"/>
  <c r="M106" i="4"/>
  <c r="J205" i="4"/>
  <c r="J173" i="4"/>
  <c r="L173" i="4"/>
  <c r="J113" i="4"/>
  <c r="K113" i="4"/>
  <c r="L113" i="4"/>
  <c r="J88" i="4"/>
  <c r="K88" i="4"/>
  <c r="L88" i="4"/>
  <c r="K39" i="4"/>
  <c r="L39" i="4"/>
  <c r="L248" i="4"/>
  <c r="L244" i="4"/>
  <c r="L240" i="4"/>
  <c r="L236" i="4"/>
  <c r="M208" i="4"/>
  <c r="J175" i="4"/>
  <c r="K175" i="4"/>
  <c r="J140" i="4"/>
  <c r="K140" i="4"/>
  <c r="L140" i="4"/>
  <c r="J136" i="4"/>
  <c r="K136" i="4"/>
  <c r="L136" i="4"/>
  <c r="K124" i="4"/>
  <c r="L124" i="4"/>
  <c r="K106" i="4"/>
  <c r="J70" i="4"/>
  <c r="K70" i="4"/>
  <c r="L70" i="4"/>
  <c r="K54" i="4"/>
  <c r="L54" i="4"/>
  <c r="K50" i="4"/>
  <c r="L50" i="4"/>
  <c r="N50" i="4" s="1"/>
  <c r="N177" i="4"/>
  <c r="L175" i="4"/>
  <c r="N166" i="4"/>
  <c r="J158" i="4"/>
  <c r="K158" i="4"/>
  <c r="L158" i="4"/>
  <c r="I142" i="4"/>
  <c r="J124" i="4"/>
  <c r="J120" i="4" s="1"/>
  <c r="I120" i="4"/>
  <c r="K129" i="4"/>
  <c r="K125" i="4"/>
  <c r="K121" i="4"/>
  <c r="K118" i="4"/>
  <c r="J112" i="4"/>
  <c r="N112" i="4" s="1"/>
  <c r="J107" i="4"/>
  <c r="K103" i="4"/>
  <c r="K97" i="4"/>
  <c r="N97" i="4" s="1"/>
  <c r="K93" i="4"/>
  <c r="K75" i="4"/>
  <c r="K29" i="4"/>
  <c r="K25" i="4"/>
  <c r="K21" i="4"/>
  <c r="K17" i="4"/>
  <c r="N17" i="4" s="1"/>
  <c r="K13" i="4"/>
  <c r="K9" i="4"/>
  <c r="L172" i="4"/>
  <c r="L130" i="4"/>
  <c r="N130" i="4" s="1"/>
  <c r="L126" i="4"/>
  <c r="L122" i="4"/>
  <c r="N122" i="4" s="1"/>
  <c r="L76" i="4"/>
  <c r="L72" i="4"/>
  <c r="L65" i="4"/>
  <c r="M33" i="4"/>
  <c r="L30" i="4"/>
  <c r="L26" i="4"/>
  <c r="L22" i="4"/>
  <c r="L18" i="4"/>
  <c r="L14" i="4"/>
  <c r="L10" i="4"/>
  <c r="L131" i="4"/>
  <c r="L127" i="4"/>
  <c r="L123" i="4"/>
  <c r="L116" i="4"/>
  <c r="L105" i="4"/>
  <c r="L95" i="4"/>
  <c r="L84" i="4"/>
  <c r="L73" i="4"/>
  <c r="L66" i="4"/>
  <c r="L27" i="4"/>
  <c r="N27" i="4" s="1"/>
  <c r="L23" i="4"/>
  <c r="N23" i="4" s="1"/>
  <c r="L19" i="4"/>
  <c r="N19" i="4" s="1"/>
  <c r="L15" i="4"/>
  <c r="L11" i="4"/>
  <c r="N11" i="4" s="1"/>
  <c r="L117" i="4"/>
  <c r="L96" i="4"/>
  <c r="L92" i="4"/>
  <c r="L74" i="4"/>
  <c r="L53" i="4"/>
  <c r="L49" i="4"/>
  <c r="L38" i="4"/>
  <c r="L28" i="4"/>
  <c r="N28" i="4" s="1"/>
  <c r="L24" i="4"/>
  <c r="L20" i="4"/>
  <c r="L16" i="4"/>
  <c r="L12" i="4"/>
  <c r="L8" i="4"/>
  <c r="N131" i="4" l="1"/>
  <c r="N14" i="4"/>
  <c r="N172" i="4"/>
  <c r="N58" i="4"/>
  <c r="N38" i="4"/>
  <c r="N49" i="4"/>
  <c r="N239" i="4"/>
  <c r="N89" i="4"/>
  <c r="N282" i="4"/>
  <c r="N196" i="4"/>
  <c r="N310" i="4"/>
  <c r="N41" i="4"/>
  <c r="N101" i="4"/>
  <c r="N231" i="4"/>
  <c r="N35" i="4"/>
  <c r="N46" i="4"/>
  <c r="N202" i="4"/>
  <c r="N215" i="4"/>
  <c r="K56" i="4"/>
  <c r="N20" i="4"/>
  <c r="G8" i="11"/>
  <c r="N80" i="4"/>
  <c r="N240" i="4"/>
  <c r="N298" i="4"/>
  <c r="N305" i="4"/>
  <c r="N137" i="4"/>
  <c r="N87" i="4"/>
  <c r="N69" i="4"/>
  <c r="N44" i="4"/>
  <c r="N84" i="4"/>
  <c r="N237" i="4"/>
  <c r="N224" i="4"/>
  <c r="N74" i="4"/>
  <c r="N21" i="4"/>
  <c r="N129" i="4"/>
  <c r="N36" i="4"/>
  <c r="N245" i="4"/>
  <c r="N262" i="4"/>
  <c r="N42" i="4"/>
  <c r="N92" i="4"/>
  <c r="N105" i="4"/>
  <c r="N25" i="4"/>
  <c r="N273" i="4"/>
  <c r="N134" i="4"/>
  <c r="N59" i="4"/>
  <c r="N56" i="4" s="1"/>
  <c r="N153" i="4"/>
  <c r="N286" i="4"/>
  <c r="N86" i="4"/>
  <c r="N37" i="4"/>
  <c r="N24" i="4"/>
  <c r="N250" i="4"/>
  <c r="N53" i="4"/>
  <c r="N26" i="4"/>
  <c r="N61" i="4"/>
  <c r="N95" i="4"/>
  <c r="N96" i="4"/>
  <c r="N29" i="4"/>
  <c r="N243" i="4"/>
  <c r="N174" i="4"/>
  <c r="N228" i="4"/>
  <c r="M211" i="4"/>
  <c r="N139" i="4"/>
  <c r="N55" i="4"/>
  <c r="N68" i="4"/>
  <c r="N283" i="4"/>
  <c r="N47" i="4"/>
  <c r="N300" i="4"/>
  <c r="J33" i="4"/>
  <c r="N117" i="4"/>
  <c r="N247" i="4"/>
  <c r="J7" i="4"/>
  <c r="J318" i="4" s="1"/>
  <c r="J317" i="4" s="1"/>
  <c r="I334" i="4" s="1"/>
  <c r="N164" i="4"/>
  <c r="N12" i="4"/>
  <c r="N127" i="4"/>
  <c r="N76" i="4"/>
  <c r="N302" i="4"/>
  <c r="N195" i="4"/>
  <c r="N118" i="4"/>
  <c r="N22" i="4"/>
  <c r="N235" i="4"/>
  <c r="N223" i="4"/>
  <c r="N293" i="4"/>
  <c r="N303" i="4"/>
  <c r="N272" i="4"/>
  <c r="N9" i="4"/>
  <c r="I211" i="4"/>
  <c r="N311" i="4"/>
  <c r="N234" i="4"/>
  <c r="N13" i="4"/>
  <c r="I119" i="4"/>
  <c r="I110" i="4" s="1"/>
  <c r="I323" i="4" s="1"/>
  <c r="G323" i="4" s="1"/>
  <c r="N296" i="4"/>
  <c r="N114" i="4"/>
  <c r="N313" i="4"/>
  <c r="L198" i="4"/>
  <c r="J106" i="4"/>
  <c r="N244" i="4"/>
  <c r="N301" i="4"/>
  <c r="N252" i="4"/>
  <c r="N78" i="4"/>
  <c r="J176" i="4"/>
  <c r="N83" i="4"/>
  <c r="N73" i="4"/>
  <c r="N220" i="4"/>
  <c r="K102" i="4"/>
  <c r="J133" i="4"/>
  <c r="J119" i="4" s="1"/>
  <c r="N145" i="4"/>
  <c r="N15" i="4"/>
  <c r="N261" i="4"/>
  <c r="N116" i="4"/>
  <c r="N200" i="4"/>
  <c r="N210" i="4"/>
  <c r="N328" i="4" s="1"/>
  <c r="N248" i="4"/>
  <c r="N123" i="4"/>
  <c r="N125" i="4"/>
  <c r="N238" i="4"/>
  <c r="N289" i="4"/>
  <c r="N151" i="4"/>
  <c r="N148" i="4"/>
  <c r="N94" i="4"/>
  <c r="N30" i="4"/>
  <c r="N232" i="4"/>
  <c r="N295" i="4"/>
  <c r="N230" i="4"/>
  <c r="N104" i="4"/>
  <c r="N160" i="4"/>
  <c r="N147" i="4"/>
  <c r="N274" i="4"/>
  <c r="N100" i="4"/>
  <c r="N201" i="4"/>
  <c r="N276" i="4"/>
  <c r="N149" i="4"/>
  <c r="N126" i="4"/>
  <c r="K119" i="4"/>
  <c r="N163" i="4"/>
  <c r="N197" i="4"/>
  <c r="N222" i="4"/>
  <c r="N221" i="4"/>
  <c r="N266" i="4"/>
  <c r="N309" i="4"/>
  <c r="N279" i="4"/>
  <c r="N155" i="4"/>
  <c r="N267" i="4"/>
  <c r="J142" i="4"/>
  <c r="K198" i="4"/>
  <c r="N246" i="4"/>
  <c r="J63" i="4"/>
  <c r="N173" i="4"/>
  <c r="N167" i="4"/>
  <c r="K204" i="4"/>
  <c r="M110" i="4"/>
  <c r="N168" i="4"/>
  <c r="N184" i="4"/>
  <c r="N93" i="4"/>
  <c r="N10" i="4"/>
  <c r="N72" i="4"/>
  <c r="E32" i="4"/>
  <c r="E320" i="4" s="1"/>
  <c r="N219" i="4"/>
  <c r="N138" i="4"/>
  <c r="N225" i="4"/>
  <c r="N171" i="4"/>
  <c r="N306" i="4"/>
  <c r="N312" i="4"/>
  <c r="N284" i="4"/>
  <c r="N18" i="4"/>
  <c r="N175" i="4"/>
  <c r="L56" i="4"/>
  <c r="N150" i="4"/>
  <c r="N207" i="4"/>
  <c r="N209" i="4"/>
  <c r="N321" i="4" s="1"/>
  <c r="J270" i="4"/>
  <c r="J326" i="4" s="1"/>
  <c r="N178" i="4"/>
  <c r="N285" i="4"/>
  <c r="K63" i="4"/>
  <c r="L176" i="4"/>
  <c r="J204" i="4"/>
  <c r="L208" i="4"/>
  <c r="J291" i="4"/>
  <c r="J327" i="4" s="1"/>
  <c r="N16" i="4"/>
  <c r="N66" i="4"/>
  <c r="N287" i="4"/>
  <c r="G318" i="4"/>
  <c r="I317" i="4"/>
  <c r="N236" i="4"/>
  <c r="N203" i="4"/>
  <c r="N251" i="4"/>
  <c r="K176" i="4"/>
  <c r="K270" i="4"/>
  <c r="J102" i="4"/>
  <c r="N277" i="4"/>
  <c r="N107" i="4"/>
  <c r="N140" i="4"/>
  <c r="N88" i="4"/>
  <c r="N206" i="4"/>
  <c r="N264" i="4"/>
  <c r="N254" i="4"/>
  <c r="N8" i="4"/>
  <c r="L7" i="4"/>
  <c r="L318" i="4" s="1"/>
  <c r="L317" i="4" s="1"/>
  <c r="N81" i="4"/>
  <c r="N99" i="4"/>
  <c r="N75" i="4"/>
  <c r="N156" i="4"/>
  <c r="K291" i="4"/>
  <c r="N268" i="4"/>
  <c r="N256" i="4"/>
  <c r="N271" i="4"/>
  <c r="N124" i="4"/>
  <c r="L142" i="4"/>
  <c r="N143" i="4"/>
  <c r="N165" i="4"/>
  <c r="L204" i="4"/>
  <c r="N205" i="4"/>
  <c r="N260" i="4"/>
  <c r="N255" i="4"/>
  <c r="N299" i="4"/>
  <c r="N275" i="4"/>
  <c r="K142" i="4"/>
  <c r="K111" i="4"/>
  <c r="I324" i="4"/>
  <c r="G325" i="4"/>
  <c r="L212" i="4"/>
  <c r="L325" i="4" s="1"/>
  <c r="N214" i="4"/>
  <c r="N242" i="4"/>
  <c r="N281" i="4"/>
  <c r="L63" i="4"/>
  <c r="N65" i="4"/>
  <c r="N158" i="4"/>
  <c r="N70" i="4"/>
  <c r="N136" i="4"/>
  <c r="N146" i="4"/>
  <c r="N103" i="4"/>
  <c r="N169" i="4"/>
  <c r="N108" i="4"/>
  <c r="L106" i="4"/>
  <c r="L119" i="4"/>
  <c r="N185" i="4"/>
  <c r="N218" i="4"/>
  <c r="N263" i="4"/>
  <c r="L291" i="4"/>
  <c r="L327" i="4" s="1"/>
  <c r="N292" i="4"/>
  <c r="N113" i="4"/>
  <c r="L111" i="4"/>
  <c r="L102" i="4"/>
  <c r="J208" i="4"/>
  <c r="J321" i="4"/>
  <c r="N121" i="4"/>
  <c r="L33" i="4"/>
  <c r="L270" i="4"/>
  <c r="L326" i="4" s="1"/>
  <c r="K212" i="4"/>
  <c r="N294" i="4"/>
  <c r="I32" i="4"/>
  <c r="J111" i="4"/>
  <c r="N39" i="4"/>
  <c r="N128" i="4"/>
  <c r="N226" i="4"/>
  <c r="N265" i="4"/>
  <c r="J212" i="4"/>
  <c r="J325" i="4" s="1"/>
  <c r="N258" i="4"/>
  <c r="N54" i="4"/>
  <c r="N132" i="4"/>
  <c r="I62" i="4"/>
  <c r="I322" i="4" s="1"/>
  <c r="G322" i="4" s="1"/>
  <c r="E31" i="4" l="1"/>
  <c r="N102" i="4"/>
  <c r="G324" i="4"/>
  <c r="F336" i="4"/>
  <c r="G317" i="4"/>
  <c r="F334" i="4"/>
  <c r="N111" i="4"/>
  <c r="J334" i="4"/>
  <c r="I66" i="11" s="1"/>
  <c r="H66" i="11"/>
  <c r="K211" i="4"/>
  <c r="N176" i="4"/>
  <c r="N208" i="4"/>
  <c r="N33" i="4"/>
  <c r="N32" i="4" s="1"/>
  <c r="N198" i="4"/>
  <c r="J211" i="4"/>
  <c r="N106" i="4"/>
  <c r="N291" i="4"/>
  <c r="N327" i="4" s="1"/>
  <c r="N63" i="4"/>
  <c r="N7" i="4"/>
  <c r="N318" i="4" s="1"/>
  <c r="N317" i="4" s="1"/>
  <c r="J62" i="4"/>
  <c r="L211" i="4"/>
  <c r="N204" i="4"/>
  <c r="L32" i="4"/>
  <c r="L62" i="4"/>
  <c r="L322" i="4" s="1"/>
  <c r="J110" i="4"/>
  <c r="J323" i="4" s="1"/>
  <c r="K110" i="4"/>
  <c r="N270" i="4"/>
  <c r="N326" i="4" s="1"/>
  <c r="N119" i="4"/>
  <c r="J324" i="4"/>
  <c r="I336" i="4" s="1"/>
  <c r="I31" i="4"/>
  <c r="I320" i="4"/>
  <c r="E319" i="4"/>
  <c r="L110" i="4"/>
  <c r="L323" i="4" s="1"/>
  <c r="N212" i="4"/>
  <c r="N211" i="4"/>
  <c r="J322" i="4"/>
  <c r="N142" i="4"/>
  <c r="L324" i="4"/>
  <c r="F66" i="11" l="1"/>
  <c r="G334" i="4"/>
  <c r="G66" i="11" s="1"/>
  <c r="J336" i="4"/>
  <c r="I68" i="11" s="1"/>
  <c r="H68" i="11"/>
  <c r="G336" i="4"/>
  <c r="G68" i="11" s="1"/>
  <c r="F68" i="11"/>
  <c r="J31" i="4"/>
  <c r="E329" i="4"/>
  <c r="E337" i="4" s="1"/>
  <c r="E69" i="11" s="1"/>
  <c r="E10" i="11" s="1"/>
  <c r="E335" i="4"/>
  <c r="E67" i="11" s="1"/>
  <c r="N324" i="4"/>
  <c r="N62" i="4"/>
  <c r="N322" i="4" s="1"/>
  <c r="G320" i="4"/>
  <c r="I319" i="4"/>
  <c r="F335" i="4" s="1"/>
  <c r="L31" i="4"/>
  <c r="L320" i="4"/>
  <c r="L319" i="4" s="1"/>
  <c r="L329" i="4" s="1"/>
  <c r="J319" i="4"/>
  <c r="I335" i="4" s="1"/>
  <c r="N320" i="4"/>
  <c r="N110" i="4"/>
  <c r="N323" i="4" s="1"/>
  <c r="H67" i="11" l="1"/>
  <c r="J335" i="4"/>
  <c r="I67" i="11" s="1"/>
  <c r="F67" i="11"/>
  <c r="G335" i="4"/>
  <c r="G67" i="11" s="1"/>
  <c r="N31" i="4"/>
  <c r="J329" i="4"/>
  <c r="I337" i="4" s="1"/>
  <c r="G319" i="4"/>
  <c r="I329" i="4"/>
  <c r="N319" i="4"/>
  <c r="N329" i="4" s="1"/>
  <c r="G329" i="4" l="1"/>
  <c r="F337" i="4"/>
  <c r="H69" i="11"/>
  <c r="H10" i="11" s="1"/>
  <c r="I10" i="11" s="1"/>
  <c r="J337" i="4"/>
  <c r="I69" i="11" s="1"/>
  <c r="H8" i="3"/>
  <c r="H7" i="3" s="1"/>
  <c r="H68" i="3" s="1"/>
  <c r="H67" i="3" s="1"/>
  <c r="H76" i="3" s="1"/>
  <c r="E56" i="11" s="1"/>
  <c r="E16" i="11" s="1"/>
  <c r="L9" i="3"/>
  <c r="P9" i="3"/>
  <c r="M9" i="3" s="1"/>
  <c r="L10" i="3"/>
  <c r="P10" i="3"/>
  <c r="M10" i="3" s="1"/>
  <c r="L11" i="3"/>
  <c r="P11" i="3"/>
  <c r="M11" i="3" s="1"/>
  <c r="L12" i="3"/>
  <c r="P12" i="3"/>
  <c r="M12" i="3" s="1"/>
  <c r="L13" i="3"/>
  <c r="P13" i="3"/>
  <c r="M13" i="3" s="1"/>
  <c r="L14" i="3"/>
  <c r="P14" i="3"/>
  <c r="M14" i="3" s="1"/>
  <c r="L15" i="3"/>
  <c r="P15" i="3"/>
  <c r="O15" i="3" s="1"/>
  <c r="L16" i="3"/>
  <c r="P16" i="3"/>
  <c r="O16" i="3" s="1"/>
  <c r="L17" i="3"/>
  <c r="P17" i="3"/>
  <c r="O17" i="3" s="1"/>
  <c r="L18" i="3"/>
  <c r="P18" i="3"/>
  <c r="M18" i="3" s="1"/>
  <c r="L19" i="3"/>
  <c r="P19" i="3"/>
  <c r="M19" i="3" s="1"/>
  <c r="L20" i="3"/>
  <c r="P20" i="3"/>
  <c r="O20" i="3" s="1"/>
  <c r="H22" i="3"/>
  <c r="L23" i="3"/>
  <c r="P23" i="3"/>
  <c r="M23" i="3" s="1"/>
  <c r="H24" i="3"/>
  <c r="L25" i="3"/>
  <c r="P25" i="3"/>
  <c r="M25" i="3" s="1"/>
  <c r="L27" i="3"/>
  <c r="P27" i="3"/>
  <c r="M27" i="3" s="1"/>
  <c r="L28" i="3"/>
  <c r="P28" i="3"/>
  <c r="O28" i="3" s="1"/>
  <c r="H29" i="3"/>
  <c r="M29" i="3"/>
  <c r="N29" i="3"/>
  <c r="O29" i="3"/>
  <c r="L30" i="3"/>
  <c r="P30" i="3"/>
  <c r="M30" i="3" s="1"/>
  <c r="L31" i="3"/>
  <c r="P31" i="3"/>
  <c r="O31" i="3" s="1"/>
  <c r="L32" i="3"/>
  <c r="P32" i="3"/>
  <c r="M32" i="3" s="1"/>
  <c r="L33" i="3"/>
  <c r="P33" i="3"/>
  <c r="N33" i="3" s="1"/>
  <c r="L34" i="3"/>
  <c r="P34" i="3"/>
  <c r="M34" i="3" s="1"/>
  <c r="L35" i="3"/>
  <c r="P35" i="3"/>
  <c r="O35" i="3" s="1"/>
  <c r="L37" i="3"/>
  <c r="P37" i="3"/>
  <c r="M37" i="3" s="1"/>
  <c r="H38" i="3"/>
  <c r="H36" i="3" s="1"/>
  <c r="H26" i="3" s="1"/>
  <c r="L39" i="3"/>
  <c r="P39" i="3"/>
  <c r="N39" i="3" s="1"/>
  <c r="L40" i="3"/>
  <c r="P40" i="3"/>
  <c r="M40" i="3" s="1"/>
  <c r="L41" i="3"/>
  <c r="P41" i="3"/>
  <c r="O41" i="3" s="1"/>
  <c r="L42" i="3"/>
  <c r="P42" i="3"/>
  <c r="O42" i="3" s="1"/>
  <c r="H43" i="3"/>
  <c r="L44" i="3"/>
  <c r="P44" i="3"/>
  <c r="O44" i="3" s="1"/>
  <c r="L45" i="3"/>
  <c r="P45" i="3"/>
  <c r="M45" i="3" s="1"/>
  <c r="H46" i="3"/>
  <c r="L47" i="3"/>
  <c r="P47" i="3"/>
  <c r="N47" i="3" s="1"/>
  <c r="H48" i="3"/>
  <c r="N48" i="3"/>
  <c r="O48" i="3"/>
  <c r="L49" i="3"/>
  <c r="P49" i="3"/>
  <c r="M49" i="3" s="1"/>
  <c r="L50" i="3"/>
  <c r="P50" i="3"/>
  <c r="M50" i="3" s="1"/>
  <c r="L51" i="3"/>
  <c r="P51" i="3"/>
  <c r="O51" i="3" s="1"/>
  <c r="L52" i="3"/>
  <c r="P52" i="3"/>
  <c r="M52" i="3" s="1"/>
  <c r="L53" i="3"/>
  <c r="P53" i="3"/>
  <c r="N53" i="3" s="1"/>
  <c r="L54" i="3"/>
  <c r="P54" i="3"/>
  <c r="M54" i="3" s="1"/>
  <c r="L55" i="3"/>
  <c r="P55" i="3"/>
  <c r="O55" i="3" s="1"/>
  <c r="L56" i="3"/>
  <c r="P56" i="3"/>
  <c r="M56" i="3" s="1"/>
  <c r="H57" i="3"/>
  <c r="P58" i="3"/>
  <c r="M58" i="3" s="1"/>
  <c r="L59" i="3"/>
  <c r="L57" i="3" s="1"/>
  <c r="P59" i="3"/>
  <c r="O59" i="3" s="1"/>
  <c r="H60" i="3"/>
  <c r="H71" i="3" s="1"/>
  <c r="H79" i="3" s="1"/>
  <c r="E59" i="11" s="1"/>
  <c r="E19" i="11" s="1"/>
  <c r="L61" i="3"/>
  <c r="P61" i="3"/>
  <c r="M61" i="3" s="1"/>
  <c r="L63" i="3"/>
  <c r="P63" i="3"/>
  <c r="M63" i="3" s="1"/>
  <c r="N71" i="3"/>
  <c r="P38" i="3" l="1"/>
  <c r="M38" i="3" s="1"/>
  <c r="L38" i="3"/>
  <c r="O61" i="3"/>
  <c r="Q61" i="3" s="1"/>
  <c r="N50" i="3"/>
  <c r="N31" i="3"/>
  <c r="N61" i="3"/>
  <c r="N11" i="3"/>
  <c r="N19" i="3"/>
  <c r="N20" i="3"/>
  <c r="M20" i="3"/>
  <c r="F69" i="11"/>
  <c r="F10" i="11" s="1"/>
  <c r="G337" i="4"/>
  <c r="G69" i="11" s="1"/>
  <c r="M60" i="3"/>
  <c r="M71" i="3" s="1"/>
  <c r="N54" i="3"/>
  <c r="N42" i="3"/>
  <c r="Q42" i="3" s="1"/>
  <c r="M39" i="3"/>
  <c r="M17" i="3"/>
  <c r="O19" i="3"/>
  <c r="O10" i="3"/>
  <c r="N41" i="3"/>
  <c r="N44" i="3"/>
  <c r="O49" i="3"/>
  <c r="Q49" i="3" s="1"/>
  <c r="O47" i="3"/>
  <c r="M44" i="3"/>
  <c r="Q44" i="3" s="1"/>
  <c r="N55" i="3"/>
  <c r="N49" i="3"/>
  <c r="M47" i="3"/>
  <c r="O33" i="3"/>
  <c r="M15" i="3"/>
  <c r="L7" i="3"/>
  <c r="L68" i="3" s="1"/>
  <c r="L67" i="3" s="1"/>
  <c r="O11" i="3"/>
  <c r="Q11" i="3" s="1"/>
  <c r="N63" i="3"/>
  <c r="L69" i="3"/>
  <c r="I77" i="3" s="1"/>
  <c r="J77" i="3" s="1"/>
  <c r="H70" i="3"/>
  <c r="O39" i="3"/>
  <c r="O37" i="3"/>
  <c r="N34" i="3"/>
  <c r="N10" i="3"/>
  <c r="N51" i="3"/>
  <c r="M53" i="3"/>
  <c r="N58" i="3"/>
  <c r="N37" i="3"/>
  <c r="N17" i="3"/>
  <c r="N15" i="3"/>
  <c r="H21" i="3"/>
  <c r="H69" i="3" s="1"/>
  <c r="H77" i="3" s="1"/>
  <c r="E57" i="11" s="1"/>
  <c r="E17" i="11" s="1"/>
  <c r="P60" i="3"/>
  <c r="O23" i="3"/>
  <c r="L60" i="3"/>
  <c r="L71" i="3" s="1"/>
  <c r="I79" i="3" s="1"/>
  <c r="O53" i="3"/>
  <c r="L48" i="3"/>
  <c r="N40" i="3"/>
  <c r="N35" i="3"/>
  <c r="M33" i="3"/>
  <c r="N30" i="3"/>
  <c r="N23" i="3"/>
  <c r="N18" i="3"/>
  <c r="N16" i="3"/>
  <c r="N28" i="3"/>
  <c r="Q28" i="3" s="1"/>
  <c r="O18" i="3"/>
  <c r="N59" i="3"/>
  <c r="M16" i="3"/>
  <c r="M59" i="3"/>
  <c r="P57" i="3"/>
  <c r="O56" i="3"/>
  <c r="M55" i="3"/>
  <c r="Q55" i="3" s="1"/>
  <c r="O52" i="3"/>
  <c r="M51" i="3"/>
  <c r="M41" i="3"/>
  <c r="O38" i="3"/>
  <c r="M35" i="3"/>
  <c r="O32" i="3"/>
  <c r="M31" i="3"/>
  <c r="M28" i="3"/>
  <c r="P21" i="3"/>
  <c r="O14" i="3"/>
  <c r="O13" i="3"/>
  <c r="O12" i="3"/>
  <c r="N56" i="3"/>
  <c r="N52" i="3"/>
  <c r="N38" i="3"/>
  <c r="N32" i="3"/>
  <c r="N14" i="3"/>
  <c r="N13" i="3"/>
  <c r="N12" i="3"/>
  <c r="P7" i="3"/>
  <c r="O9" i="3"/>
  <c r="O25" i="3"/>
  <c r="O63" i="3"/>
  <c r="O58" i="3"/>
  <c r="O54" i="3"/>
  <c r="Q54" i="3" s="1"/>
  <c r="O50" i="3"/>
  <c r="Q50" i="3" s="1"/>
  <c r="O45" i="3"/>
  <c r="O40" i="3"/>
  <c r="O34" i="3"/>
  <c r="O30" i="3"/>
  <c r="O27" i="3"/>
  <c r="N25" i="3"/>
  <c r="N9" i="3"/>
  <c r="N45" i="3"/>
  <c r="N27" i="3"/>
  <c r="L70" i="3" l="1"/>
  <c r="I78" i="3" s="1"/>
  <c r="F58" i="11" s="1"/>
  <c r="F18" i="11" s="1"/>
  <c r="G10" i="11"/>
  <c r="Q19" i="3"/>
  <c r="Q17" i="3"/>
  <c r="Q20" i="3"/>
  <c r="Q63" i="3"/>
  <c r="J71" i="3"/>
  <c r="Q47" i="3"/>
  <c r="Q30" i="3"/>
  <c r="Q53" i="3"/>
  <c r="M7" i="3"/>
  <c r="M68" i="3" s="1"/>
  <c r="J67" i="3"/>
  <c r="I76" i="3"/>
  <c r="Q51" i="3"/>
  <c r="Q39" i="3"/>
  <c r="P71" i="3"/>
  <c r="L79" i="3"/>
  <c r="H72" i="3"/>
  <c r="H80" i="3" s="1"/>
  <c r="E60" i="11" s="1"/>
  <c r="E9" i="11" s="1"/>
  <c r="E12" i="11" s="1"/>
  <c r="H78" i="3"/>
  <c r="E58" i="11" s="1"/>
  <c r="E18" i="11" s="1"/>
  <c r="E23" i="11" s="1"/>
  <c r="Q40" i="3"/>
  <c r="Q10" i="3"/>
  <c r="G57" i="11"/>
  <c r="F57" i="11"/>
  <c r="F17" i="11" s="1"/>
  <c r="F59" i="11"/>
  <c r="F19" i="11" s="1"/>
  <c r="J79" i="3"/>
  <c r="G59" i="11" s="1"/>
  <c r="Q59" i="3"/>
  <c r="Q15" i="3"/>
  <c r="Q31" i="3"/>
  <c r="J68" i="3"/>
  <c r="Q33" i="3"/>
  <c r="J69" i="3"/>
  <c r="J70" i="3"/>
  <c r="Q41" i="3"/>
  <c r="Q16" i="3"/>
  <c r="N57" i="3"/>
  <c r="N70" i="3" s="1"/>
  <c r="Q32" i="3"/>
  <c r="Q23" i="3"/>
  <c r="Q34" i="3"/>
  <c r="M21" i="3"/>
  <c r="M69" i="3" s="1"/>
  <c r="L77" i="3" s="1"/>
  <c r="Q37" i="3"/>
  <c r="Q12" i="3"/>
  <c r="Q38" i="3"/>
  <c r="Q60" i="3"/>
  <c r="Q71" i="3" s="1"/>
  <c r="Q14" i="3"/>
  <c r="O60" i="3"/>
  <c r="O71" i="3" s="1"/>
  <c r="Q18" i="3"/>
  <c r="O7" i="3"/>
  <c r="O68" i="3" s="1"/>
  <c r="O67" i="3" s="1"/>
  <c r="Q9" i="3"/>
  <c r="Q35" i="3"/>
  <c r="Q45" i="3"/>
  <c r="Q13" i="3"/>
  <c r="M57" i="3"/>
  <c r="M48" i="3"/>
  <c r="O21" i="3"/>
  <c r="O69" i="3" s="1"/>
  <c r="Q25" i="3"/>
  <c r="N7" i="3"/>
  <c r="N68" i="3" s="1"/>
  <c r="N67" i="3" s="1"/>
  <c r="Q52" i="3"/>
  <c r="M67" i="3"/>
  <c r="P68" i="3"/>
  <c r="N21" i="3"/>
  <c r="N69" i="3" s="1"/>
  <c r="Q58" i="3"/>
  <c r="O57" i="3"/>
  <c r="O70" i="3" s="1"/>
  <c r="Q27" i="3"/>
  <c r="Q56" i="3"/>
  <c r="L72" i="3"/>
  <c r="P69" i="3" l="1"/>
  <c r="M7" i="11"/>
  <c r="M11" i="11"/>
  <c r="M8" i="11"/>
  <c r="M10" i="11"/>
  <c r="G19" i="11"/>
  <c r="F56" i="11"/>
  <c r="F16" i="11" s="1"/>
  <c r="J76" i="3"/>
  <c r="G56" i="11" s="1"/>
  <c r="G17" i="11"/>
  <c r="M79" i="3"/>
  <c r="I59" i="11" s="1"/>
  <c r="H59" i="11"/>
  <c r="H19" i="11" s="1"/>
  <c r="M19" i="11" s="1"/>
  <c r="J72" i="3"/>
  <c r="I80" i="3"/>
  <c r="Q57" i="3"/>
  <c r="Q70" i="3" s="1"/>
  <c r="J78" i="3"/>
  <c r="G58" i="11" s="1"/>
  <c r="Q7" i="3"/>
  <c r="Q68" i="3" s="1"/>
  <c r="Q67" i="3" s="1"/>
  <c r="G18" i="11"/>
  <c r="P67" i="3"/>
  <c r="L76" i="3"/>
  <c r="H57" i="11"/>
  <c r="H17" i="11" s="1"/>
  <c r="M17" i="11" s="1"/>
  <c r="M77" i="3"/>
  <c r="I57" i="11" s="1"/>
  <c r="N72" i="3"/>
  <c r="Q21" i="3"/>
  <c r="Q69" i="3" s="1"/>
  <c r="O72" i="3"/>
  <c r="M70" i="3"/>
  <c r="L78" i="3" s="1"/>
  <c r="F60" i="11" l="1"/>
  <c r="F9" i="11" s="1"/>
  <c r="J80" i="3"/>
  <c r="G60" i="11" s="1"/>
  <c r="I17" i="11"/>
  <c r="H56" i="11"/>
  <c r="H16" i="11" s="1"/>
  <c r="M16" i="11" s="1"/>
  <c r="M76" i="3"/>
  <c r="I56" i="11" s="1"/>
  <c r="Q72" i="3"/>
  <c r="G16" i="11"/>
  <c r="F23" i="11"/>
  <c r="I19" i="11"/>
  <c r="H58" i="11"/>
  <c r="H18" i="11" s="1"/>
  <c r="M18" i="11" s="1"/>
  <c r="M78" i="3"/>
  <c r="I58" i="11" s="1"/>
  <c r="P70" i="3"/>
  <c r="M72" i="3"/>
  <c r="I18" i="11" l="1"/>
  <c r="K23" i="11"/>
  <c r="K22" i="11"/>
  <c r="K20" i="11"/>
  <c r="G23" i="11"/>
  <c r="K21" i="11"/>
  <c r="K19" i="11"/>
  <c r="K18" i="11"/>
  <c r="K17" i="11"/>
  <c r="G9" i="11"/>
  <c r="F12" i="11"/>
  <c r="K16" i="11"/>
  <c r="I16" i="11"/>
  <c r="H23" i="11"/>
  <c r="L16" i="11" s="1"/>
  <c r="P72" i="3"/>
  <c r="L80" i="3"/>
  <c r="M23" i="11" l="1"/>
  <c r="G12" i="11"/>
  <c r="K10" i="11"/>
  <c r="K8" i="11"/>
  <c r="K11" i="11"/>
  <c r="K12" i="11"/>
  <c r="K7" i="11"/>
  <c r="H60" i="11"/>
  <c r="H9" i="11" s="1"/>
  <c r="M9" i="11" s="1"/>
  <c r="M80" i="3"/>
  <c r="I60" i="11" s="1"/>
  <c r="L21" i="11"/>
  <c r="L20" i="11"/>
  <c r="I23" i="11"/>
  <c r="L22" i="11"/>
  <c r="L23" i="11"/>
  <c r="L17" i="11"/>
  <c r="L19" i="11"/>
  <c r="L18" i="11"/>
  <c r="K9" i="11"/>
  <c r="I9" i="11" l="1"/>
  <c r="H12" i="11"/>
  <c r="M12" i="11" s="1"/>
  <c r="L9" i="11" l="1"/>
  <c r="L8" i="11"/>
  <c r="L7" i="11"/>
  <c r="I12" i="11"/>
  <c r="L11" i="11"/>
  <c r="L12" i="11"/>
  <c r="L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GLAISE Charles-Henry</author>
  </authors>
  <commentList>
    <comment ref="F52" authorId="0" shapeId="0" xr:uid="{3C42D224-1FC0-4E85-8431-E04C068E16DF}">
      <text>
        <r>
          <rPr>
            <b/>
            <sz val="9"/>
            <color indexed="81"/>
            <rFont val="Tahoma"/>
            <family val="2"/>
          </rPr>
          <t>GLAISE Charles-Henry:</t>
        </r>
        <r>
          <rPr>
            <sz val="9"/>
            <color indexed="81"/>
            <rFont val="Tahoma"/>
            <family val="2"/>
          </rPr>
          <t xml:space="preserve">
PAP 2025 du P 380</t>
        </r>
      </text>
    </comment>
  </commentList>
</comments>
</file>

<file path=xl/sharedStrings.xml><?xml version="1.0" encoding="utf-8"?>
<sst xmlns="http://schemas.openxmlformats.org/spreadsheetml/2006/main" count="2102" uniqueCount="1025">
  <si>
    <t>Total</t>
  </si>
  <si>
    <t>x</t>
  </si>
  <si>
    <t>Taxes affectées/dépenses des opérateurs/organismes</t>
  </si>
  <si>
    <t>Dépenses fiscales, sociales et allègement de charges</t>
  </si>
  <si>
    <t>Dépenses budgétaires</t>
  </si>
  <si>
    <t>FEAMPA</t>
  </si>
  <si>
    <t>Fonds européens</t>
  </si>
  <si>
    <t>Dépenses restant à classer par la mission (M€)</t>
  </si>
  <si>
    <t>Part de financement gris</t>
  </si>
  <si>
    <t>Dépenses inclassables dans l'état actuel des connaissances scientifiques (M€)</t>
  </si>
  <si>
    <t>Nombre de dépenses dommageables non chiffrées</t>
  </si>
  <si>
    <t>Dépenses grises (M€)</t>
  </si>
  <si>
    <t>Financement dommageable (M€)</t>
  </si>
  <si>
    <t>Part dommageable</t>
  </si>
  <si>
    <t>Financement (M€)</t>
  </si>
  <si>
    <t>Tableau agrégé</t>
  </si>
  <si>
    <t>Transverse</t>
  </si>
  <si>
    <t>Bpifrance - fonds CMA-CGM pour la décarbonation de la filière maritime (dont 4 pêche)</t>
  </si>
  <si>
    <t>Enim - dotations d'équilibre</t>
  </si>
  <si>
    <t>Pêche</t>
  </si>
  <si>
    <t>Comités des pêches maritimes et des élevages marins - taxe éolienne</t>
  </si>
  <si>
    <t>Exonération de cotisations sociales</t>
  </si>
  <si>
    <t>Tarif réduit pour l'achat de carburant - pêche</t>
  </si>
  <si>
    <t>Avantages fiscaux/sociaux</t>
  </si>
  <si>
    <t>ε</t>
  </si>
  <si>
    <t>Transport</t>
  </si>
  <si>
    <t>Exonération des transports maritimes de personnes et de marchandises en Guadeloupe, en Martinique et à La Réunion</t>
  </si>
  <si>
    <t>mix</t>
  </si>
  <si>
    <t>Exonération avec droit à déduction de la vente des produits de leur pêche par les pêcheurs et armateurs à la pêche, à l'exception des pêcheurs en eau douce</t>
  </si>
  <si>
    <t>Détermination du résultat imposable des entreprises de transport maritime en fonction du tonnage de leurs navires</t>
  </si>
  <si>
    <t>Exonération sous certaines conditions : - des coopératives agricoles et de leurs unions ; - des coopératives artisanales et de leurs unions ; - des coopératives d'entreprises de transport ; - des coopératives artisanales de transport fluvial ; - des coopératives maritimes et de leurs unions</t>
  </si>
  <si>
    <t>Déduction exceptionnelle en faveur des navires, bateaux ou équipements répondant à des enjeux écologiques</t>
  </si>
  <si>
    <t>Plaisance</t>
  </si>
  <si>
    <t>Exonération des livraisons de biens dans certaines communes de Guadeloupe ou de Martinique réalisées auprès des touristes effectuant une croisière</t>
  </si>
  <si>
    <t>Exonération de la partie du trajet effectué à l'intérieur de l'espace maritime national pour les transports aériens ou maritimes de personnes et de marchandises en provenance ou à destination de la Corse</t>
  </si>
  <si>
    <t>Rèf</t>
  </si>
  <si>
    <t>Dépenses fiscales</t>
  </si>
  <si>
    <t>Action 06 – Mer - sous action Pêche et aquaculture</t>
  </si>
  <si>
    <t>Programme 362 - Écologie</t>
  </si>
  <si>
    <t>...Plaisance et littoral</t>
  </si>
  <si>
    <t>...Coordination mer et littoral (FIM)</t>
  </si>
  <si>
    <t>Action 08 – Planification et économie bleue</t>
  </si>
  <si>
    <t>...Intervention économiques cofinancées par l'UE</t>
  </si>
  <si>
    <t>...Interventions économiques non cofinancées par l'UE</t>
  </si>
  <si>
    <t>...Interventions socio-économiques</t>
  </si>
  <si>
    <t>…Contrôle des pêches</t>
  </si>
  <si>
    <t>...Appui technique</t>
  </si>
  <si>
    <t>...Suivi scientifique et des données</t>
  </si>
  <si>
    <t>Action 07 – Pêche et aquaculture</t>
  </si>
  <si>
    <t>Action 05 – Soutien et systèmes d'information</t>
  </si>
  <si>
    <t>Action 04 – Action interministérielle de la mer</t>
  </si>
  <si>
    <t>...Contrôle des navires</t>
  </si>
  <si>
    <t>...Dispositif de soutien à l'emploi maritime</t>
  </si>
  <si>
    <t>...Dispositifs d'aide à la flotte de commerce (ENIM, ACOSS, UNEDIC)</t>
  </si>
  <si>
    <t>...Compléments retraites et rentes d'accidents du travail (CGMF)</t>
  </si>
  <si>
    <t>Action 03 – Innovation et flotte de commerce</t>
  </si>
  <si>
    <t>Action 02 – Emplois et formations maritimes</t>
  </si>
  <si>
    <t>Action 01 – Surveillance et sûreté maritimes</t>
  </si>
  <si>
    <t>Programme 205 - Affaires maritimes, pêche et aquaculture</t>
  </si>
  <si>
    <t>Programme 197 - Régimes de retraite et de sécurité sociale des marins</t>
  </si>
  <si>
    <t>Action 02 - Aménagement du territoire - Fonds pêche</t>
  </si>
  <si>
    <t>Programme 123 Conditions de vie outre-mer</t>
  </si>
  <si>
    <t>Financements européens</t>
  </si>
  <si>
    <t>Assistance technique</t>
  </si>
  <si>
    <t>Données./contrôles</t>
  </si>
  <si>
    <t>4.1 Renforcer la gestion durable des mers et des océans par la promotion des connaissances du milieu marin, de la surveillance maritime et/ou de la coopération concernant les fonctions de garde-côtes</t>
  </si>
  <si>
    <t>Pêche/Aquaculture</t>
  </si>
  <si>
    <t>3.1 Développer les communautés de pêche et d'aquaculture</t>
  </si>
  <si>
    <t>exclu de l'analyse (conso)</t>
  </si>
  <si>
    <t xml:space="preserve">Afficher le montant dans l'annexe </t>
  </si>
  <si>
    <t>2.2 Développer des marchés compétitifs, transparents et stables pour les produits de la pêche et de l'aquaculture, et transformer ces produits (investissements, Plan de Production et de Commercialisation des OP, promotion, animation...)</t>
  </si>
  <si>
    <t>Aquaculture</t>
  </si>
  <si>
    <t>2.1 Promouvoir les activités aquacoles durables et économiquement viables (investissements, recherche et innovation, gestion des risques, formation, réseaux de surveillance, animation des filières, communication.)</t>
  </si>
  <si>
    <t>Environnement</t>
  </si>
  <si>
    <t>1.6 Contribuer à la protection et la restauration des écosystèmes aquatiques (recherche et innovation, partenariats scientifiques-pêcheurs, mesures de protection et de restauration, notamment dans les AMP, lutte contre les déchets.)</t>
  </si>
  <si>
    <t>1.5 Promouvoir des conditions de concurrence équitables / RUP (compensation des surcoûts)</t>
  </si>
  <si>
    <t>1.4 Favoriser le contrôle efficace de la pêche ainsi que la fiabilité des données en vue d'une prise de décision fondée sur les connaissances (mise en œuvre des règlements UE contrôle et DCF)</t>
  </si>
  <si>
    <t>1.3 Promouvoir l'adaptation de la capacité de pêche aux possibilités de pêche (arrêts définitifs et temporaires des activités de pêche)</t>
  </si>
  <si>
    <t>1.2 Améliorer l'efficacité énergétique et réduire les émissions de CO2 (remotorisation)</t>
  </si>
  <si>
    <t>Autres opérations</t>
  </si>
  <si>
    <t>Equipement</t>
  </si>
  <si>
    <t>Aides à l'acquisition d'un premier navire de pêche ou augmentation du tonnage brut d'un navire de pêche pour améliorer la sécurité, les conditions de travail ou l'efficacité énergétique</t>
  </si>
  <si>
    <t>1.1 Renforcer les activités de pêche durables sur le plan économique, social et environnemental (investissements, formation, recherche et innovation, animation de la filière, partage de connaissance, communication…)</t>
  </si>
  <si>
    <t>Dépenses à clarifier</t>
  </si>
  <si>
    <t>Dépenses non chiffrées</t>
  </si>
  <si>
    <t>Dépenses inclassables</t>
  </si>
  <si>
    <t>Dépenses dommageables non chiffrées</t>
  </si>
  <si>
    <t xml:space="preserve">Montant annuel moyen </t>
  </si>
  <si>
    <t>Types d'actions financé</t>
  </si>
  <si>
    <t>Secteur d'actvité</t>
  </si>
  <si>
    <t>Origine des financements</t>
  </si>
  <si>
    <t>Instruments</t>
  </si>
  <si>
    <t>Tableau détaillé</t>
  </si>
  <si>
    <t>Aides aux secteurs de la pêche, de l'aquaculture et du transport maritime (hors infrastructure)</t>
  </si>
  <si>
    <t>Mixte</t>
  </si>
  <si>
    <t>Programme 350 - Jeux olympiques et paralympiques 2024</t>
  </si>
  <si>
    <t>Programme 364 - Cohésion</t>
  </si>
  <si>
    <t>Programme 380 - Fonds d'accélération de la transition écologique dans les territoires</t>
  </si>
  <si>
    <t>Programme 343 - Plan France Très haut débit</t>
  </si>
  <si>
    <t>Programme 203 - Infrastructures et services de transports</t>
  </si>
  <si>
    <t>Programme 123 : Conditions de vie outre-mer</t>
  </si>
  <si>
    <t>Programme 119 : Concours financiers aux collectivités territoriales et à leurs groupements</t>
  </si>
  <si>
    <t>Programme 162 - Interventions territoriales de l'État</t>
  </si>
  <si>
    <t>Programme 135 : Urbanisme, territoires et amélioration de l'habitat</t>
  </si>
  <si>
    <t>Programme 145 - Épargne</t>
  </si>
  <si>
    <t>Programme 112 - Impulsion et coordination de la politique d'aménagement du territoire</t>
  </si>
  <si>
    <t>dont cessions immobilières décotées</t>
  </si>
  <si>
    <t>dont aides territoriales</t>
  </si>
  <si>
    <t>dont fiscalité foncière</t>
  </si>
  <si>
    <t>dont soutien au logement</t>
  </si>
  <si>
    <t>Dépenses fiscales et allègements de charge</t>
  </si>
  <si>
    <t>dont soutien au développement des territoires et à l'investissement des collectivités</t>
  </si>
  <si>
    <t xml:space="preserve"> dont infrastructures (hors énergie)</t>
  </si>
  <si>
    <t>dont programmes d'acquisition/construction immobiliers</t>
  </si>
  <si>
    <t>dont politique de l'habitat et du logement</t>
  </si>
  <si>
    <t>Dépenses budgétaires/fonds de concours/affectation de produits</t>
  </si>
  <si>
    <t>FEDER</t>
  </si>
  <si>
    <t>Taux de 2,10 % applicable à certaines opérations relatives au logement social outre-mer qui sont éligibles soit aux prêts locatifs sociaux, soit au crédit d’impôt sur les sociétés en faveur de l’investissement dans les logements neufs outre-mer</t>
  </si>
  <si>
    <t>Taux particuliers applicables à divers produits et services consommés ou utilisés en Corse</t>
  </si>
  <si>
    <t>nc</t>
  </si>
  <si>
    <t>Exonération du droit de partage de 2,5% à hauteur de la valeur des immeubles situés dans les collectivités régies par l'article 73 de la Constitution, dans les collectivités de Saint-Barthélemy, de Saint-Martin et de Saint-Pierre-et-Miquelon pour les partages de succession et les licitations de biens héréditaires établis entre le 1er janvier 2018 et le 31 décembre 2038</t>
  </si>
  <si>
    <t># 1466 F</t>
  </si>
  <si>
    <t>Exonération temporaire de certaines mutations portant sur les immeubles et les droits immobiliers situés à Mayotte réalisées entre le 1er janvier 2018 et le 31 décembre 2025</t>
  </si>
  <si>
    <t># 1388 quinquies</t>
  </si>
  <si>
    <t>Exonération temporaire des mutations par décès portant sur des immeubles et des droits immobiliers situés en Corse</t>
  </si>
  <si>
    <t># 1655 bis</t>
  </si>
  <si>
    <t>Abattement en faveur des immeubles anti-sismiques des départements d'outre-mer</t>
  </si>
  <si>
    <t># 44 quaterdecies</t>
  </si>
  <si>
    <t>Abattement sur la base d'imposition des établissements situés dans les départements d'outre-mer</t>
  </si>
  <si>
    <t># 750 bis C</t>
  </si>
  <si>
    <t>Réduction d'impôt sur le revenu en faveur des investissements locatifs réalisés outre-mer jusqu'au 31 décembre 2012 ou, sous conditions, jusqu'au 31 mars 2013 : dispositif SCELLIER outre-mer</t>
  </si>
  <si>
    <t># 1135 ter</t>
  </si>
  <si>
    <t>Exonération, sur agrément, des bénéfices réinvestis dans l'entreprise pour les sociétés de recherche et d'exploitation minière dans les départements d'outre-mer</t>
  </si>
  <si>
    <t># 244 quater Y, 220 Z sexies, 223 O</t>
  </si>
  <si>
    <t>Réduction d’impôt sur les sociétés à raison des investissements productifs neufs et des investissements dans le secteur du logement intermédiaire et social réalisés dans les collectivités d’outre-mer et en Nouvelle-Calédonie</t>
  </si>
  <si>
    <t># 217 undecies, 217 duodecies</t>
  </si>
  <si>
    <t>Réduction d'impôt sur le revenu en faveur des investissements locatifs réalisés outre-mer dans le secteur intermédiaire jusqu'au 31 décembre 2012 ou, sous conditions, jusqu'au 31 mars 2013 : dispositif SCELLIER intermédiaire outre-mer</t>
  </si>
  <si>
    <t># 244 quater W, 199 ter U, 220 Z quater, 223 O</t>
  </si>
  <si>
    <t>Déduction des investissements productifs réalisés dans les départements et collectivités d'outre-mer et des souscriptions au capital de sociétés qui réalisent de tels investissements</t>
  </si>
  <si>
    <t># 199 septvicies XI</t>
  </si>
  <si>
    <t>Réduction d'impôt au titre des investissements effectués dans le secteur du logement social dans les collectivités d'outre-mer et en Nouvelle-Calédonie</t>
  </si>
  <si>
    <t># 199 undecies C</t>
  </si>
  <si>
    <t>Réduction d’impôt au titre des investissements locatifs et de la souscription au capital de certaines sociétés réalisés jusqu’au 31/12/2017 et au titre des travaux de réhabilitation de logements réalisés jusqu’au 31/12/2029, dans les départements d'outre-mer, à Saint-Pierre-et-Miquelon, en Nouvelle-Calédonie, en Polynésie française, dans les îles Wallis et Futuna et les Terres australes et antarctiques françaises</t>
  </si>
  <si>
    <t># 199 undecies B</t>
  </si>
  <si>
    <t>Crédit d'impôt pour investissement en Corse</t>
  </si>
  <si>
    <t># 199 undecies A</t>
  </si>
  <si>
    <t>Abattement applicable aux bénéfices des entreprises provenant d'exploitations situées dans les départements d'outre-mer</t>
  </si>
  <si>
    <t># 1388 ter</t>
  </si>
  <si>
    <t>Crédit d’impôt à raison des investissements effectués dans le secteur du logement social dans les départements d’outre-mer</t>
  </si>
  <si>
    <t># 1466 F, 1586 nonies-IV</t>
  </si>
  <si>
    <t>Crédit d'impôt à raison des investissements productifs réalisés dans les départements d'outre-mer</t>
  </si>
  <si>
    <t># 297</t>
  </si>
  <si>
    <t>Réduction d'impôt sur le revenu à raison des investissements productifs réalisés dans les départements et collectivités d'outre-mer</t>
  </si>
  <si>
    <t># 1135 bis</t>
  </si>
  <si>
    <t>Abattement en faveur des entreprises dont les établissements situés dans les départements d’outre-mer peuvent bénéficier d’un abattement sur leurs bases nettes imposables à la CFE</t>
  </si>
  <si>
    <t># 244 quater E, 199 ter D, 220 D, 223 O-1-d</t>
  </si>
  <si>
    <t>Réduction de 25 % des bases imposées en Corse au profit des communes et des EPCI. Suppression des parts départementales et régionales.</t>
  </si>
  <si>
    <t># 1472 A ter</t>
  </si>
  <si>
    <t>Abattement sur la base nette imposable des établissements situés dans les départements d'outre-mer</t>
  </si>
  <si>
    <t>Aides spécifiques à certains territoires géographiques</t>
  </si>
  <si>
    <t># 1464 G</t>
  </si>
  <si>
    <t>Exonération en faveur des établissements exerçant une activité commerciale dans une zone de revitalisation des commerces en milieu rural (ZoRCoMiR)</t>
  </si>
  <si>
    <t># 1463 B</t>
  </si>
  <si>
    <t>Exonération en faveur des établissements créés dans une zone de développement prioritaire (ZDP)</t>
  </si>
  <si>
    <t># 1647 D</t>
  </si>
  <si>
    <t>Exonération de la cotisation minimum de CFE des redevables réalisant un très faible chiffre d'affaires</t>
  </si>
  <si>
    <t># 1463 A</t>
  </si>
  <si>
    <t>Exonération en faveur des établissements créés dans un bassin urbain à dynamiser (BUD)</t>
  </si>
  <si>
    <t># 1458 bis</t>
  </si>
  <si>
    <t>Exonération en faveur des entreprises dont les établissements vendent au public des écrits périodiques en qualité de mandataires inscrits à la commission du réseau de la diffusion de la presse et revêtent la qualité de diffuseurs de presse spécialistes</t>
  </si>
  <si>
    <t># 1466 A I septies</t>
  </si>
  <si>
    <t>Exonération en faveur des établissements existants au 1er janvier 2015 dans un quartier prioritaire de la politique de la ville (QPV) ou créés ou étendus entre le 1er janvier 2015 et le 31 décembre 2024 dans un QPV</t>
  </si>
  <si>
    <t># 1466 A-I sexies</t>
  </si>
  <si>
    <t>Exonération en faveur des établissements existants au 1er janvier 2006 dans les zones franches urbaines (ZFU) de troisième génération ou créés ou étendus entre le 1er janvier 2006 et le 31 décembre 2014 dans les trois générations de ZFU</t>
  </si>
  <si>
    <t># 1465 A</t>
  </si>
  <si>
    <t>Exonération en faveur de certaines opérations réalisées dans les ZRR</t>
  </si>
  <si>
    <t># 1391 E</t>
  </si>
  <si>
    <t>Dégrèvement égal au quart des dépenses à raison des travaux d'économie d'énergie, sur la cotisation de taxe foncière sur les propriétés bâties pour les organismes HLM et les SEM</t>
  </si>
  <si>
    <t># 1391 D</t>
  </si>
  <si>
    <t>Dépenses engagées à raison de travaux dans le cadre de la prévention des risques technologiques</t>
  </si>
  <si>
    <t># 1391 C</t>
  </si>
  <si>
    <t>Dépenses pour faciliter l'accessibilité pour personnes handicapées</t>
  </si>
  <si>
    <t># 1391 B, 1391 B bis</t>
  </si>
  <si>
    <t>Dégrèvement d'office en faveur des personnes de condition modeste 65-75 ans</t>
  </si>
  <si>
    <t># 1382 I</t>
  </si>
  <si>
    <t>Exonération des immeubles situés dans une zone de revitalisation des commerces en milieu rural (ZoRCoMiR) et rattachés à un établissement implanté dans une ZoRCoMiR pouvant bénéficier de l'exonération de cotisation foncière des entreprises</t>
  </si>
  <si>
    <t># 1383 J</t>
  </si>
  <si>
    <t>Exonération des immeubles situés dans une zone de développement prioritaire (ZDP) et rattachés à un établissement implanté dans une ZDP pouvant bénéficier de l’exonération de CFE</t>
  </si>
  <si>
    <t># 1383 F</t>
  </si>
  <si>
    <t>Exonération des immeubles situés dans un bassin urbain à dynamiser (BUD) et rattachés à un établissement implanté dans un BUD pouvant bénéficier de l’exonération de CFE</t>
  </si>
  <si>
    <t># 1383 C ter</t>
  </si>
  <si>
    <t>Exonération des immeubles situés dans un quartier prioritaire de la politique de la ville (QPV) et rattachés à un établissement implanté dans un QPV pouvant bénéficier de l'exonération de cotisation foncière des entreprises</t>
  </si>
  <si>
    <t># 1388 bis</t>
  </si>
  <si>
    <t>Abattement en faveur des immeubles en ZUS (jusqu'en 2015) puis situés dans les quartiers prioritaires de la ville (à compter de 2016)</t>
  </si>
  <si>
    <t># 1384, 1384-0 A, 1384 A à D</t>
  </si>
  <si>
    <t>Exonération en faveur des immeubles à caractère social</t>
  </si>
  <si>
    <t># 1390, 1391, 1391 B bis</t>
  </si>
  <si>
    <t>Exonération en faveur des personnes âgées ou de condition modeste</t>
  </si>
  <si>
    <t>Fiscalité foncière</t>
  </si>
  <si>
    <t>Exonération des sociétés de placement à prépondérance immobilière à capital variable (SPPICAV)</t>
  </si>
  <si>
    <t>Exonération des rachats de parts de fonds communs de placement et de parts de fonds de placement immobilier</t>
  </si>
  <si>
    <t>Exonération des produits des plans d'épargne populaire</t>
  </si>
  <si>
    <t>Exonération des intérêts et primes versés dans le cadre de l'épargne logement</t>
  </si>
  <si>
    <t>Exonération des intérêts des livrets jeune</t>
  </si>
  <si>
    <t>Exonération des intérêts des livrets d'épargne populaire</t>
  </si>
  <si>
    <t>Exonération des intérêts des livrets de développement durable</t>
  </si>
  <si>
    <t>Exonération des intérêts des livrets bleus</t>
  </si>
  <si>
    <t>Exonération des intérêts des livrets A</t>
  </si>
  <si>
    <t>Taux de 5,5% pour les travaux d'amélioration de la qualité énergétique des locaux à usage d'habitation achevés depuis plus de deux ans ainsi que sur les travaux induits qui leur sont indissociablement liés</t>
  </si>
  <si>
    <t>Taux de 5,5 % dans le secteur de l’accession sociale à la propriété et dans le secteur du logement locatif social pour les logements financés par un prêt locatif aidé d’intégration (PLAI), pour les logements financés par un prêt locatif à usage social (PLUS) lorsqu’ils relèvent de la politique de renouvellement urbain, ainsi que pour certains travaux portant sur ces logements ou participant au renouvellement urbain</t>
  </si>
  <si>
    <t>Taux de 10 % pour les travaux d’amélioration, de transformation, d’aménagement et d’entretien, autres que les travaux de rénovation énergétiques soumis au taux de 5,5 % en application de l’article 278-0 bis A, portant sur les logements achevés depuis plus de deux ans</t>
  </si>
  <si>
    <t>Taux de 10 % pour les ventes et livraisons à soi-même, à des investisseurs dotés de la personnalité morale, de logements locatifs intermédiaires situés dans des zones caractérisées par un déséquilibre important entre l’offre et la demande de logement ou en cours de revitalisation et de réindustrialisation, lorsqu’ils répondent à des critères de mixité avec des logements locatifs sociaux, ainsi que pour les livraisons de logements locatifs intermédiaires à l’association foncière logement, ou aux sociétés qu’elle contrôle, lorsqu’ils sont situés dans des quartiers ciblés de la politique de la ville ou à leur proximité</t>
  </si>
  <si>
    <t>Taux de 10 % dans le secteur du logement locatif social pour les opérations qui ne sont pas éligibles au taux réduit de 5,5 %</t>
  </si>
  <si>
    <t>Régime micro-BIC - Abattement supplémentaire de 21% pour les activités de locations meublées touristiques classées, lorsque celles-ci sont situées dans des zones ne se caractérisant pas par un déséquilibre important entre l’offre et la demande de logements et lorsque le chiffre d’affaires tiré de l’activité de location meublée est inférieur à 15 000 €</t>
  </si>
  <si>
    <t>Réductions d'impôt sur le revenu en faveur de l'investissement locatif intermédiaire (dispositifs Duflot et Pinel)</t>
  </si>
  <si>
    <t>Réduction d'impôt sur le revenu majorée en faveur de l'investissement locatif du 1er janvier 2009 au 31 décembre 2012 et, sous conditions, jusqu'au 31 mars 2013 dans le secteur intermédiaire dans les zones présentant un déséquilibre entre l'offre et la demande de logements accompagnée d'une déduction spécifique sur les revenus tirés de ces logements (sous conditions de loyer plus strictes et conditions de ressources du locataire) : Dispositif SCELLIER intermédiaire</t>
  </si>
  <si>
    <t>Réduction d'impôt sur le revenu en faveur de l'investissement locatif du 1er janvier 2009 au 31 décembre 2012 et, sous conditions, jusqu'au 31 mars 2013 dans les zones présentant un déséquilibre entre l'offre et la demande de logements (sous conditions de loyer) : Dispositif SCELLIER</t>
  </si>
  <si>
    <t>Réduction d'impôt sur le revenu au titre des investissements locatifs réalisés dans le secteur de la location meublée non professionnelle (dispositif Censi-Bouvard)</t>
  </si>
  <si>
    <t>Réduction d'impôt en faveur de l'investissement locatif intermédiaire rénové (Dispositif Denormandie)</t>
  </si>
  <si>
    <t>Réduction d’impôt sur le revenu en faveur des logements donnés en location dans le cadre d’une convention ANAH (dispositif Loc’Avantages)</t>
  </si>
  <si>
    <t>Imputation sur le revenu global des déficits commerciaux supportés par les loueurs en meublé qui réalisent un montant de recettes annuelles excédant 23 000 € et le montant de leurs autres revenus d'activité</t>
  </si>
  <si>
    <t>Gratuité de l’enregistrement applicable à certaines opérations concernant les sociétés transparentes et les sociétés civiles immobilières régies par l'article L. 443-6-2 et suivants du Code de la construction et de l'habitation</t>
  </si>
  <si>
    <t>Exonération temporaire des plus-values de cession d'un droit de surélévation réalisées par les particuliers en vue de la réalisation par le cessionnaire de locaux destinés à l'habitation</t>
  </si>
  <si>
    <t>Exonération sous certaines conditions et dans certaines limites des immeubles neufs acquis entre le 1er juin 1993 et le 31 décembre 1994 ou entre le 1er août et le 31 décembre 1995, et des immeubles anciens acquis entre le 1er août 1995 et le 31 décembre 1996</t>
  </si>
  <si>
    <t>Exonération du droit de 2,50% sur les actes de partage des copropriétés</t>
  </si>
  <si>
    <t>Exonération des unions d'économie sociale</t>
  </si>
  <si>
    <t>Exonération des plus-values immobilières au titre des cessions d'immeubles au profit des collectivités territoriales ou de certains établissements publics et sociétés en vue de leur cession par ceux-ci à des organismes en charge du logement social, réalisées jusqu’au 31 décembre 2025</t>
  </si>
  <si>
    <t>Exonération des plus-values immobilières au titre des cessions d’immeubles effectuées jusqu’au 31 décembre 2025, sous conditions, au profit d’organismes en charge du logement social et de tout cessionnaire prenant l’engagement de réaliser des logements sociaux et/ou intermédiaires.</t>
  </si>
  <si>
    <t>Exonération des plus-values immobilières au titre de la première cession d'un logement sous condition de remploi par le cédant d'une fraction du prix de cession à l'acquisition ou la construction d'un logement affecté à son habitation principale</t>
  </si>
  <si>
    <t>Exonération des organismes d'HLM et des offices publics d'aménagement et de construction (OPAC)</t>
  </si>
  <si>
    <t>Exonération des acquisitions d'actions de sociétés d'économie mixte et de fonds de commerce par les collectivités locales ou certains établissements publics</t>
  </si>
  <si>
    <t>Exonération de la première cession d'un logement en France par des personnes physiques non résidentes de France, ressortissantes d'un Etat membre de l'Espace économique européen (EEE), dans la limite de 150 000 € de plus-value nette imposable</t>
  </si>
  <si>
    <t>Exonération d’impôt sur le revenu au titre des revenus fonciers pour les associés personnes physiques des SCI d’accession progressive à la propriété</t>
  </si>
  <si>
    <t>Exonération accordée sous certaines conditions, aux personnes louant ou sous-louant en meublé, une partie de leur habitation principale jusqu'au 31 décembre 2026</t>
  </si>
  <si>
    <t>Doublement du plafond du déficit foncier imputable sur le revenu global pour les propriétaires bailleurs réalisant des travaux de rénovation énergétique</t>
  </si>
  <si>
    <t>Dégrèvement d'office en faveur des gestionnaires de foyers et des organismes sans but lucratif agréés pour les logements loués à des personnes défavorisées</t>
  </si>
  <si>
    <t>Déduction sur les revenus des logements loués à usage d'habitation principale dans les zones de revitalisation rurale : Dispositif ROBIEN ZRR jusqu'en 2009 et SCELLIER ZRR à compter de 2009</t>
  </si>
  <si>
    <t>Déduction spécifique sur les revenus fonciers des logements donnés en location dans le cadre d’une convention ANAH : dispositif COSSE</t>
  </si>
  <si>
    <t>Déduction spécifique sur les revenus des logements neufs à usage d'habitation principale (sous conditions de loyer et de ressources du locataire) : Dispositif BORLOO populaire</t>
  </si>
  <si>
    <t>Déduction spécifique sur les revenus des logements donnés en location dans le cadre d'une convention ANAH : Dispositif BORLOO ancien</t>
  </si>
  <si>
    <t>Déduction des versements à fonds perdus effectués en faveur de certains organismes de construction</t>
  </si>
  <si>
    <t>Déduction des travaux de grosses réparations supportés par les nus-propriétaires dans le cas de démembrements de propriété consécutifs à une succession ou une donation</t>
  </si>
  <si>
    <t>Déduction des intérêts d'emprunt supportés par les nus-propriétaires de logements dont l'usufruit est détenu temporairement par un bailleur social (opérations "d'usufruit locatif social")</t>
  </si>
  <si>
    <t>Déduction des dépenses de réparations et d'amélioration</t>
  </si>
  <si>
    <t>Déduction dégressive sur les revenus des logements neufs loués à usage d'habitation principale : Dispositif PERISSOL</t>
  </si>
  <si>
    <t>Déduction dégressive sur les revenus des logements neufs loués à usage d'habitation principale (sous conditions de loyer et de ressources du locataire à compter du 1er janvier 1999) pour les investissements réalisés jusqu'au 3 avril 2003 : Dispositif BESSON neuf</t>
  </si>
  <si>
    <t>Déduction dégressive sur les revenus des logements loués à usage d'habitation principale pour les investissements réalisés entre le 3 avril 2003 et le 31 décembre 2009 : Dispositifs ROBIEN classique et ROBIEN recentré</t>
  </si>
  <si>
    <t>Crédits d'impôt "Prêt à taux zéro" et "Prêt à taux zéro renforcé PTZ+"</t>
  </si>
  <si>
    <t>Crédit d'impôt pour dépenses d'équipements de l'habitation principale en faveur de l'aide aux personnes</t>
  </si>
  <si>
    <t>Crédit d'impôt "Eco prêt à taux zéro"</t>
  </si>
  <si>
    <t>Application du droit d’enregistrement de 0,1 % pour les actes constatant les cessions d’actions de sociétés d’économie mixte exerçant une activité de construction ou de gestion de logements sociaux, d’organismes d’HLM ou de certaines sociétés foncières solidaires</t>
  </si>
  <si>
    <t>Application d’un droit fixe de 125 € pour les transferts de biens de toute nature opérés entre organismes HLM, sociétés de crédit immobilier ou leurs unions, sociétés d’économie mixte exerçant une activité de construction ou de gestion dans le secteur du logement social au sens de l’article L. 411-1 du code de la construction et de l’habitation et organismes bénéficiant de l’agrément maîtrise d’ouvrage (article L. 365-2 du code de la construction et de l’habitation)</t>
  </si>
  <si>
    <t>Abattement exceptionnel de 60 %, 75 % ou 85 % applicable, sous conditions, aux plus-values de cessions réalisées jusqu’au 31 décembre 2027, de terrains à bâtir ou d'immeubles bâtis destinés à la construction, la démolition-reconstruction ou la réhabilitation, en vue de la création de logements</t>
  </si>
  <si>
    <t>Logement</t>
  </si>
  <si>
    <t>Dépenses patrimoniale de l'État</t>
  </si>
  <si>
    <t>Décôte pour la cession de biens immobiliers</t>
  </si>
  <si>
    <t>Mix</t>
  </si>
  <si>
    <t>Acquisitions et constructions immobilières (État et opérateurs)</t>
  </si>
  <si>
    <t>Politique immobilière de l'État</t>
  </si>
  <si>
    <t>Action 03 - Amélioration du cadre de vie</t>
  </si>
  <si>
    <t>Action 02 - Adaptation des territoires au changement climatique</t>
  </si>
  <si>
    <t>Action 01 - Performance environnementale</t>
  </si>
  <si>
    <t>Aide au développement d'une offre de tourisme durable</t>
  </si>
  <si>
    <t>Développement et modernisation du réseau routier national et renforcement des ponts</t>
  </si>
  <si>
    <t>inc</t>
  </si>
  <si>
    <t>Développement du numérique sur l'ensemble du territoire</t>
  </si>
  <si>
    <t>Soutien aux actions de développement local</t>
  </si>
  <si>
    <t>Action 07 - Cohésion territoriale</t>
  </si>
  <si>
    <t>Action 13 - Plan Sargasses II</t>
  </si>
  <si>
    <t>Action 12 - Service d'incendie et de secours à Wallis-et-Futuna</t>
  </si>
  <si>
    <t>Action 11 - Reconquête de la qualité des cours d'eau en Pays de la Loire</t>
  </si>
  <si>
    <t>Axe 5 : cohésion sociale et employabilité</t>
  </si>
  <si>
    <t>Axe 4 : territoires d'innovation et de rayonnement</t>
  </si>
  <si>
    <t>Axe 3 : territoires résilients</t>
  </si>
  <si>
    <t>Axe 2 : mobilité multimodale</t>
  </si>
  <si>
    <t>Axe 1  : cohésion des territoires</t>
  </si>
  <si>
    <t>Action 10 - Fonds interministériel pour la transformation de la Guyane</t>
  </si>
  <si>
    <t>Axe 3 : pour un littoral symbole d'attractivité, d'accueil et de cohésion républicaine</t>
  </si>
  <si>
    <t>Axe 2 : pour une économie globale portée par l'innovation qui irrigue tout le territoire</t>
  </si>
  <si>
    <t>Axe 1 : pour une vitrine française de la résilience écologique</t>
  </si>
  <si>
    <t>Action 09 - Plan littoral 21</t>
  </si>
  <si>
    <t>Action 08 - Volet territorialisé du plan national d'action chlordécone</t>
  </si>
  <si>
    <t>-</t>
  </si>
  <si>
    <t>Accroître la résilience de la Corse</t>
  </si>
  <si>
    <t>Poursuivre l'accessibilité et le maillage de l'île par les grandes infrastructures</t>
  </si>
  <si>
    <t>Investir dans le développement territorial</t>
  </si>
  <si>
    <t>Résorber le déficit en services collectifs</t>
  </si>
  <si>
    <t>Mise à niveau des réseaux et équipements collectifs</t>
  </si>
  <si>
    <t>Action 04 - Plans d'investissement pour la Corse</t>
  </si>
  <si>
    <t>Action 02 - Eau-Agriculture en Bretagne</t>
  </si>
  <si>
    <t>Action 09 - Appui à l'accès aux financements bancaires</t>
  </si>
  <si>
    <t>Action 08 - Fonds exceptionnel d'investissement</t>
  </si>
  <si>
    <t>Action 07 - Insertion économique et coopération régionales</t>
  </si>
  <si>
    <t>Autres dotations</t>
  </si>
  <si>
    <t>Dotations spécifiques</t>
  </si>
  <si>
    <t>Aide à la reconversion de l'économie polynésienne - contractualisation sur les projets d'investissement prioritéaires</t>
  </si>
  <si>
    <t>Aide à la reconversion de l'économie polynésienne - dotation territoriale d'investissement des communes</t>
  </si>
  <si>
    <t>Subvention exceptionnelle accordée à un syndicat mixte</t>
  </si>
  <si>
    <t>Fonds intercommunal de péréquation en Polynésie française</t>
  </si>
  <si>
    <t>Dotation globale de construction et d'équipement des collèges de Nouvelle-Calédonie (DGCEC)</t>
  </si>
  <si>
    <t>Dotation spéciale de construction et d'équipement des établissements scolaires à Mayotte (DSCEES)</t>
  </si>
  <si>
    <t>Dotation spéciale de construction et d'équipement des lycées et collèges en Guyane</t>
  </si>
  <si>
    <t>Dotation spéciale d'équipement scolaire en Guyane</t>
  </si>
  <si>
    <t>Action 06 - Collectivités territoriales</t>
  </si>
  <si>
    <t>Fonds d'échanges éducatifs, culturels et sportifs (FEBECS) et dispositifs connexes</t>
  </si>
  <si>
    <t>Desserte aérienne de Wallis-et-Futuna</t>
  </si>
  <si>
    <t>Desserte maritime et aérienne de Saint-Pierre-et-Miquelon</t>
  </si>
  <si>
    <t>Fonds de continuité territoriale</t>
  </si>
  <si>
    <t>Action 03 - Continuité territoriale</t>
  </si>
  <si>
    <t>Convention de fonctionnement du Contrat de développement de la Nouvelle-Calédonie</t>
  </si>
  <si>
    <t>Recherche, études et évaluation</t>
  </si>
  <si>
    <t>… Observatoire des prix, des marges et des revenus (OPMR)</t>
  </si>
  <si>
    <t>… subvention à l'Agence pour le développement rural et l'aménagement foncier (ADRAF)</t>
  </si>
  <si>
    <t>Actions en faveur du développement économique</t>
  </si>
  <si>
    <t>Tourisme en outre-mer</t>
  </si>
  <si>
    <t>Actions dans le domaine de l'environnement</t>
  </si>
  <si>
    <t>Abris anticyclonique en Polynésie française</t>
  </si>
  <si>
    <t>Plan séisme Antilles</t>
  </si>
  <si>
    <t>Fonds mahorais de développement économique, social et culturel (FMDESC)</t>
  </si>
  <si>
    <t>Programme national d'assistance technique inter-fonds Europ'Act</t>
  </si>
  <si>
    <t>Opérations contractualisées</t>
  </si>
  <si>
    <t>Action 02 - Aménagement du territoire</t>
  </si>
  <si>
    <t>Action 01 - Logement</t>
  </si>
  <si>
    <t>Action 09 - Dotation de soutien à l'investissement local exceptionnel</t>
  </si>
  <si>
    <t>Dotation de compensation de la suppresion de la taxe d'habitation aux communes et EPCI à fiscalité propre qui avaient institué en 2017 une taxe en vue de financer la gestion des milieux aquatiques et la prévention des inondations</t>
  </si>
  <si>
    <t>Dotation de compensation de la réduction des taxes additionnelles de la cotisation foncière des entreprises (CFE) et de la taxe foncière sur les propriétés bâties (TPFB)</t>
  </si>
  <si>
    <t>Concours particulier relatif au domain public fluvial</t>
  </si>
  <si>
    <t>Concours particulier pour les bibliothèques municipales, intercommunales et départementales</t>
  </si>
  <si>
    <t>Concours partitulier en faveur des aérodromes</t>
  </si>
  <si>
    <t>Concours particulier en faveur des ports maritimes</t>
  </si>
  <si>
    <t>Concours particulier en faveur des autorités compétentes pour l'organisation des transports urbain (ACOTU)</t>
  </si>
  <si>
    <t>Action 06 - Dotation générale de décentralisation concours particuliers</t>
  </si>
  <si>
    <t>Action 05 - Dotation générale de décentralisation des régions</t>
  </si>
  <si>
    <t>Action 04 - Dotation générale de décentralisation des départements</t>
  </si>
  <si>
    <t>Action 03 - Soutien aux projets des départements et des régions</t>
  </si>
  <si>
    <t>Action 02 - Dotation générale de décentralisation des communes</t>
  </si>
  <si>
    <t>Plan Marseille en grand</t>
  </si>
  <si>
    <t>Dotation aménités rurales</t>
  </si>
  <si>
    <t>Dotation communale d'insularité</t>
  </si>
  <si>
    <t>Dotation "régisseurs de police municipale" (IRPM)</t>
  </si>
  <si>
    <t>Dotation forfaitaire titres sécurisés</t>
  </si>
  <si>
    <t>Dotation de soutien à l'investissement des communes et de leurs groupements (DSIL)</t>
  </si>
  <si>
    <t>Dotation politique de la ville (DPV)</t>
  </si>
  <si>
    <t>Dotation d'équipements des territoires ruraux (DETR)</t>
  </si>
  <si>
    <t>Action 01 - Soutien aux projets des communes et groupement des communes</t>
  </si>
  <si>
    <t>Pacte État-métropoles</t>
  </si>
  <si>
    <t>Contrats de ruralité</t>
  </si>
  <si>
    <t>Prime d'aménagement du territoire</t>
  </si>
  <si>
    <t>Action 14 - Prime d'aménagement du territoire, contrats de ruralité et pacte État-métropole</t>
  </si>
  <si>
    <t>Action 13  - Soutien aux Opérateurs</t>
  </si>
  <si>
    <t>Action 12- FNADT section générale</t>
  </si>
  <si>
    <t>Action 11 - Fonds national d'aménagement et de développement du territoire (FNADT) section locale</t>
  </si>
  <si>
    <t>Dépenses territoriales</t>
  </si>
  <si>
    <t>Action 05 - Autres dépenses liées aux jeux olympiques et paralympiques</t>
  </si>
  <si>
    <t>Action 02 - Comité d'organisation des jeux olympiques et paralympiques</t>
  </si>
  <si>
    <t>Action 01 - Société de livraison des ouvrages olympiques et paralympiques</t>
  </si>
  <si>
    <t>Action 03 - Inclusion numérique</t>
  </si>
  <si>
    <t>Action 02 - Autres projets concourant à la mise en œuvre du plan France très haut débit</t>
  </si>
  <si>
    <t>Action 01 - Réseaux d'initiative publique</t>
  </si>
  <si>
    <t>Fonds de compensation Nantes Atlantique</t>
  </si>
  <si>
    <t>Financement de certaines liaisons aériennes aux fins d'aménagement du territoire</t>
  </si>
  <si>
    <t>Soutenir le développement des infrastructures aéroportuaires</t>
  </si>
  <si>
    <t>Action 52 - Transport aérien</t>
  </si>
  <si>
    <t>Fonds de concours</t>
  </si>
  <si>
    <t>Action 51 - Sécurité ferroviaire (via AFITF)</t>
  </si>
  <si>
    <t>Action 50 - Transport routier</t>
  </si>
  <si>
    <t>Db + Fdc</t>
  </si>
  <si>
    <t>Action 47 - Fonctions support</t>
  </si>
  <si>
    <t>Autoroute ferroviaire alpine</t>
  </si>
  <si>
    <t>Aides à l'exploitation des services de transport combiné et de wagons isolés</t>
  </si>
  <si>
    <t>Infrastructures de transport combiné, via AFITF</t>
  </si>
  <si>
    <t>Action 45 - Transports combinés</t>
  </si>
  <si>
    <t>Financement du déficit d'exploitation des trains d'équilibre du territoire</t>
  </si>
  <si>
    <t>Plan vélo</t>
  </si>
  <si>
    <t>Tarifs sociaux ferroviaires</t>
  </si>
  <si>
    <t>Politique des déplacements</t>
  </si>
  <si>
    <t>Infrastructures de transports collectifs via AFITF</t>
  </si>
  <si>
    <t>Action 44 - Transports collectifs</t>
  </si>
  <si>
    <t>Modernisation et développement des infrastructures fluviales et portuaires, via AFITF</t>
  </si>
  <si>
    <t>Suventions aux grands ports maritimes</t>
  </si>
  <si>
    <t>Action 43 Ports</t>
  </si>
  <si>
    <t>Développement de l'axe Méditerranée Rhône Saône (CPIER Rhône-Saône)</t>
  </si>
  <si>
    <t>Entretien et développement des infrastructures fluviales via AFITF</t>
  </si>
  <si>
    <t xml:space="preserve">Soutien et contrôle du transport maritime ou fluvial </t>
  </si>
  <si>
    <t>Subvention à Voies navigables de France (VNF)</t>
  </si>
  <si>
    <t>Action 42 - Voies navigables</t>
  </si>
  <si>
    <t>Régénération ferroviaire</t>
  </si>
  <si>
    <t>Infrastructures ferroviaires - via fonds de concours AFITF (lutte contre le bruit ferroviaire, accessibilité des gares, réseau capillaire Fret)</t>
  </si>
  <si>
    <t>Infrastructures ferroviaires via fonds de concours AFITF (part État dans les CPER)</t>
  </si>
  <si>
    <t>Services ferroviaires</t>
  </si>
  <si>
    <t>Concours à SNCF-Réseau pour la gestion de l'infrastructure</t>
  </si>
  <si>
    <t>Action 41 - Ferroviaire</t>
  </si>
  <si>
    <t>dont collectivités ou tiers privés</t>
  </si>
  <si>
    <t>dont AFITF</t>
  </si>
  <si>
    <t>dont budget général</t>
  </si>
  <si>
    <t>Action 04 - Routes - Entretien</t>
  </si>
  <si>
    <t>dont collectivités via CPER et CCT</t>
  </si>
  <si>
    <t>Action 01 - Routes - Développement</t>
  </si>
  <si>
    <t>Infrastructures</t>
  </si>
  <si>
    <t>Frais de gestion et de contrôle dus au titre des prêts conventionnés</t>
  </si>
  <si>
    <t>Action 02 - Instruments de financement du logement</t>
  </si>
  <si>
    <t>Versement de primes d'épargne logement</t>
  </si>
  <si>
    <t>Frais de gestion</t>
  </si>
  <si>
    <t>Action 01 - Épargne logement</t>
  </si>
  <si>
    <t>Compensation budgétaire des effets de la réforme de la fiscalité locale sur la taxe spéciale d'équipement (TSE) pour les établissements publics fonciers (EPF), les établissements publics fonciers et d'aménagement et les agences des cinquante pas géométriques</t>
  </si>
  <si>
    <t>Politique d'aménagement de l'État</t>
  </si>
  <si>
    <t>Villes et territoires durables</t>
  </si>
  <si>
    <t>Action 07 : Urbanisme et aménagement</t>
  </si>
  <si>
    <t>Action 05 - Innovation, territorialisation et services numériques</t>
  </si>
  <si>
    <t>Observatoire des loyers</t>
  </si>
  <si>
    <t>Subvention à l'Anah - Autres mesures</t>
  </si>
  <si>
    <t>Subvention à l'Anah pour l'adaptation des logements au vieillissement</t>
  </si>
  <si>
    <t>Subvention à l'Anah pour la rénovation thermique des logements privés</t>
  </si>
  <si>
    <t>Qualité de la construction</t>
  </si>
  <si>
    <t>Contentieur de l'urbanisme</t>
  </si>
  <si>
    <t>Contentieux de l'habitat</t>
  </si>
  <si>
    <t>Action 04 - Règlementation, politique technique et qualité de la construction</t>
  </si>
  <si>
    <t>Action 03 - Lutte contre l'habitat indigne</t>
  </si>
  <si>
    <t>Frais de gestion des dispositifs d'accession sociale à la propriété</t>
  </si>
  <si>
    <t>Action 02 - Soutien à l'accession à la propriété</t>
  </si>
  <si>
    <t>Compensation de l'éxonération de taxe foncière sur les propriétés bâtis (TFPB) au profit du LLS</t>
  </si>
  <si>
    <t>Accueil des gens du voyage</t>
  </si>
  <si>
    <t>Système National d'Enregistrement de la demande de logement social (SNE)</t>
  </si>
  <si>
    <t>Rénovation des cités minière du Nord et du Pas-de-Calais</t>
  </si>
  <si>
    <t>Développement et amélioration du parc locatif social (fonds de concours du Fonds national des aides à la pierre)</t>
  </si>
  <si>
    <t>Action 01 - Construction locative et amélioration du parc</t>
  </si>
  <si>
    <t>Accès au logement</t>
  </si>
  <si>
    <t>Dépenses bugétaire</t>
  </si>
  <si>
    <t>5.2-Encourager le développement social, économique et environnemental intégré et inclusif ainsi que la culture, le patrimoine naturel, le tourisme durable et la sécurité ailleurs que dans les zones urbaines</t>
  </si>
  <si>
    <t>5.1-Encourager le développement social, économique et environnemental intégré et inclusif ainsi que la culture, le patrimoine naturel, le tourisme durable et la sécurité dans les zones urbaines</t>
  </si>
  <si>
    <t>4.6-Renforcer le rôle de la culture et du tourisme durable dans le développement économique, l'inclusion sociale et l'innovation sociale</t>
  </si>
  <si>
    <t>4.5-Garantir l'égalité d'accès aux soins de santé et favoriser la résilience des systèmes de santé, y compris les soins de santé primaires, et promouvoir le passage d'une prise en charge institutionnelle à une prise en charge familiale ou de proximité</t>
  </si>
  <si>
    <t>4.4-Favoriser l'intégraction socioéconomique des ressortissants de pays tiers, y compris les migrants, au moyen de mesures intégrées, notamment en ce qui concerne le logemetn et les services sociaux</t>
  </si>
  <si>
    <t>4.3-Favoriser l'intégration socioéconomique des communautés marginalisées, des ménages à faible revenu et des groupes défavorisés, y compris les personnes ayant des besoins particuliers, au moyen de mesures intégrées, notamment en ce qui concerne le logement et les services sociaux</t>
  </si>
  <si>
    <t>4.2-Améliorer l'égalité d'accès à des services de qualité et inclusifs dans l'éducation, la formation et l'apprentissage tout au long de la vie grâce au développement d'infrastructures accessibles, notamment en favorisant la réslience dans le domain de l'enseignement et de la formation à distance et en ligne</t>
  </si>
  <si>
    <t>4.1-Améliorer l'efficacité et le caractère inclusif des marchés du travail ainsi que l'accès à un emploi de qualité grâce au développement des infrastructures en matière sociale et à la promotion de l'économie sociale</t>
  </si>
  <si>
    <t>3.2-Mettre en place et développer une mobilité durable, intelligente, intermodale et résiliente face aux facteurs climatiques au niveau national, régional et local, y compris en améliorant l'accès au RTE-T et la mobilité transfrontalière</t>
  </si>
  <si>
    <t>3.1-Développer un RTE-T intelligent, sûr, durable et intermodal et résilient face aux facteurs climatiques</t>
  </si>
  <si>
    <t>2.8-Favoriser une mobilité urbaine multimodale durable, dans le cadre de la transition vers une économie à zéro émission nette de carbone</t>
  </si>
  <si>
    <t>2.7-Améliorer la protection et la préservation de la nature et de la biodiversité et renforcer les infrastructures vertes, en particulier en milieu urbain, et réduire toutes les formes de pollution</t>
  </si>
  <si>
    <t>2.6-Favoriser la transition vers une économie circulaire et efficace dans l'utilisation des ressources</t>
  </si>
  <si>
    <t>2.5-Favoriser l'accès à l'eau et à une gestion durable de l'eau</t>
  </si>
  <si>
    <t>2.4-Favoriser l'adaptation au changement climatique, la prévention des risques de catastrophe et la résilience, en tenant compte des approches fondées sur les écosystèmes</t>
  </si>
  <si>
    <t>2.3-Développer des systèmes, réseaux et équipements de stockage énergétiques intelligents en dehors du réseau transeuropéen d'énergie (RTE-E)</t>
  </si>
  <si>
    <t>2.2-Promouvoir les énergies renouvelables conformément à la directive (UE) 2018/2001 sur les sources d'énergie renouvelables, y compris les critères de durabilité qui y sont énoncés</t>
  </si>
  <si>
    <t>2.1-Favoriser les mesures en matière d'efficacité énergétique et réduire les émissions de gaz à effet de serre</t>
  </si>
  <si>
    <t>1.5-Renforcer la connectivité numérique</t>
  </si>
  <si>
    <t>1.4-Développer des compétences en ce qui concerne la spécialisation intelligente, la transition industrielle et l'esprit d'entreprise</t>
  </si>
  <si>
    <t>1.3-Renforcer la croissance durable et la compétitivité des PME et la création d'emplois dans les PME, y compris par des investissements productifs</t>
  </si>
  <si>
    <t>1.2-Tirer parti des avantages de la numérisation au bénéfice des citoyens, des entreprises, des organismes de recherche et des pouvoirs publics</t>
  </si>
  <si>
    <t>1.1-Développer et a les capacités de recherche et d'innovation, ainsi que l'utilisation des technologies de pointe</t>
  </si>
  <si>
    <t>Aides à l'aménagement du territoire : transports, cohésion du territoire et infrastructure</t>
  </si>
  <si>
    <t>Financements interprofessionnels</t>
  </si>
  <si>
    <t>Dépenses des opérateurs</t>
  </si>
  <si>
    <t>Financements par les collectivités locales</t>
  </si>
  <si>
    <t>Taxes affectées</t>
  </si>
  <si>
    <t>Programme 206 : Sécurité et qualité sanitaires de l'alimentation</t>
  </si>
  <si>
    <t>Programme 181 - prévention des risques</t>
  </si>
  <si>
    <t>Programme 174 - Énergie, climat et après-mines</t>
  </si>
  <si>
    <t>Programme 149 - Compétitivité et durabilité de l'agriculture, de l'agroalimentaire et de la forêt</t>
  </si>
  <si>
    <t>Programme 123 - Conditions de vie en outre-mer</t>
  </si>
  <si>
    <t>Programme 113 - Paysages, eau et biodiversité</t>
  </si>
  <si>
    <t>FEADER</t>
  </si>
  <si>
    <t>Financement dommageable  (Md€)</t>
  </si>
  <si>
    <t>Financement (Md€)</t>
  </si>
  <si>
    <t>Contribution volontaire obligatoire France Bois Forêt</t>
  </si>
  <si>
    <t>Taxe pour le développement des industries de l'ameublement ainsi que des industries du bois</t>
  </si>
  <si>
    <t>Opérateurs</t>
  </si>
  <si>
    <t xml:space="preserve">Prêts bois de Bpifrance </t>
  </si>
  <si>
    <t xml:space="preserve">Dépenses propres des opérateurs et agences publics </t>
  </si>
  <si>
    <t>Tarif réduit (remboursement) pour les gaz naturels utilisés comme carburants ou combustibles pour les travaux agricoles et forestiers </t>
  </si>
  <si>
    <t>Tarif réduit (remboursement) pour les gazoles, les fiouls lourds et les gaz de pétrole liquéfiés utilisés pour les travaux agricoles et forestiers </t>
  </si>
  <si>
    <t>Taux de 10 % applicable aux livraisons de bois de chauffage et produits de bois assimilés</t>
  </si>
  <si>
    <t>Crédit d'impôt au titre d’investissements et travaux forestiers et cotisations d'assurance de bois et forêts</t>
  </si>
  <si>
    <t>Exonération partielle de droits de mutation des bois et forêts, des sommes déposées sur un compte d'investissement forestier et d'assurance (CIFA), des parts d'intérêts détenues dans un groupement forestier, des biens ruraux loués par bail à long terme, des parts de GFA et de la fraction des parts de groupements forestiers ruraux représentative de biens de nature forestière et celle représentative de biens de nature agricole</t>
  </si>
  <si>
    <t>Réduction d'impôt au titre des cotisations versées aux associations syndicales autorisées ayant pour objet la réalisation de travaux de prévention en vue de la défense des forêts contre les incendies sur des terrains inclus dans les bois classés</t>
  </si>
  <si>
    <t>Réduction d'impôt sur le revenu pour investissements et cotisations d'assurance de bois et forêts jusqu'au 31 décembre 2022</t>
  </si>
  <si>
    <t>Exonération en faveur des terrains plantés en bois</t>
  </si>
  <si>
    <t>Exonération partielle des bois et forêts, des parts de groupement forestier, des biens ruraux loués par bail à long terme et des parts de GFA</t>
  </si>
  <si>
    <t>Collectivités locales</t>
  </si>
  <si>
    <t>Complément du FEADER (dont top up)</t>
  </si>
  <si>
    <t>Prévention des risques d’incendies de forêt</t>
  </si>
  <si>
    <t>02 – Adaptation des territoires au changement climatique</t>
  </si>
  <si>
    <t>Programme 380 : Fonds d'accélération de la transition écologique dans les territoires</t>
  </si>
  <si>
    <t>EDMD</t>
  </si>
  <si>
    <t>Surveillance des forêts</t>
  </si>
  <si>
    <t>Action 1 : Santé, qualité et protection des végétaux</t>
  </si>
  <si>
    <t>AAFAR</t>
  </si>
  <si>
    <t>Participation de l'ONF à la prévention des risques forestiers</t>
  </si>
  <si>
    <t xml:space="preserve">   Action 10 : Prévention des risques naturels et hydrauliques</t>
  </si>
  <si>
    <t>Participation de l'ONF à l'étude de l'impact des forêts sur le climat et la qualité de l'air</t>
  </si>
  <si>
    <t>Action 5 : Lutte contre le changement climatique et pour la qualité de l'air</t>
  </si>
  <si>
    <t>29-10 – Forêt en outre-mer</t>
  </si>
  <si>
    <t>29-09 – Graines et plants, et travaux forestiers</t>
  </si>
  <si>
    <t>29-08 – Défense des forêts contre les incendies (DFCI)</t>
  </si>
  <si>
    <t>29-07 – Dynamisation de l’aval bois-matériaux</t>
  </si>
  <si>
    <t>29-06 - Soutien au renouvellement forestier</t>
  </si>
  <si>
    <t xml:space="preserve">   Action 29 : Planification écologique</t>
  </si>
  <si>
    <t>Fonds stratégique forêt bois</t>
  </si>
  <si>
    <t>…dont évaluation, prospectives forestières et appuis aux démarches collectives</t>
  </si>
  <si>
    <t>…dont institut technologique Forêt cellulose bois-construction ameublement (FCBA)</t>
  </si>
  <si>
    <t>Études et recherche</t>
  </si>
  <si>
    <t>Défense des forêts contre les incendies (DFCI)</t>
  </si>
  <si>
    <t>Mission d'intérêt générale confiée à l'ONF</t>
  </si>
  <si>
    <t>Restauration des terrains en montagne</t>
  </si>
  <si>
    <t>Subvention pour charge de service publique du CNPF</t>
  </si>
  <si>
    <t>Subvention pour charge de service publique de l'ONF</t>
  </si>
  <si>
    <t>Classement en forêt de protection et lutte phytosanitaire</t>
  </si>
  <si>
    <t>Action 26 : Gestion durable de la forêt et développement de la filière bois</t>
  </si>
  <si>
    <t>Mission d'intérêt général biodiversité de l'ONF</t>
  </si>
  <si>
    <t xml:space="preserve">   Action 02 : Amenagement du territoire</t>
  </si>
  <si>
    <t>OM</t>
  </si>
  <si>
    <t xml:space="preserve">   Action 07 : Gestion des milieux et biodiversité</t>
  </si>
  <si>
    <t>Amélioration des services de base et des infrastructures rurales, forestières et de protection incendie - Corse</t>
  </si>
  <si>
    <t>Infrastructures de défense, de prévention des risques forestiers, de mobilisation des bois et de mise en valeur de la forêt dans sa dimension multifonctionnelle</t>
  </si>
  <si>
    <t>Investissements forestiers productifs - amélioration, renouvellement productif et projets globaux en forêt</t>
  </si>
  <si>
    <t>…dont Corse</t>
  </si>
  <si>
    <t>…dont France Hexagonale</t>
  </si>
  <si>
    <t>Préservation et restauration du patrimoine naturel et forestier</t>
  </si>
  <si>
    <t>Aménagements ruraux et investissements</t>
  </si>
  <si>
    <t>Agriculture sous couvert forestier</t>
  </si>
  <si>
    <t>Mesures agro-environnementales et climatiques (MAEC) régions ultrapériphériques</t>
  </si>
  <si>
    <t>Commentaires</t>
  </si>
  <si>
    <t>Forêt</t>
  </si>
  <si>
    <t>…dont dépenses en faveur des retraites des agriculteurs</t>
  </si>
  <si>
    <t>…dont fonctionnement des services publics</t>
  </si>
  <si>
    <t>…dont aides au revenu et à l’investissement pour les agriculteurs</t>
  </si>
  <si>
    <t>Taxes affectées (hors régime de retraite des exploitants agricoles)</t>
  </si>
  <si>
    <t>Transferts et taxes affectées au profit des régimes de retraite agricoles</t>
  </si>
  <si>
    <t xml:space="preserve">Dépenses sociales </t>
  </si>
  <si>
    <r>
      <t xml:space="preserve">P 215 </t>
    </r>
    <r>
      <rPr>
        <sz val="10"/>
        <color theme="1"/>
        <rFont val="Marianne"/>
        <scheme val="major"/>
      </rPr>
      <t>Conduite et pilotage des politiques de l'agriculture</t>
    </r>
  </si>
  <si>
    <r>
      <t xml:space="preserve">P 206 </t>
    </r>
    <r>
      <rPr>
        <sz val="10"/>
        <color theme="1"/>
        <rFont val="Marianne"/>
        <scheme val="major"/>
      </rPr>
      <t>Sécurité et qualité sanitaires de l’alimentation</t>
    </r>
  </si>
  <si>
    <t>P 149 Compétitivité et à la durabilité de l'agriculture, de l'agroalimentaire, de la forêt, de la pêche et de l'aquaculture (hors compensation des dépenses sociales et transferts aux collectivités)</t>
  </si>
  <si>
    <r>
      <t xml:space="preserve">P 143 </t>
    </r>
    <r>
      <rPr>
        <sz val="10"/>
        <color theme="1"/>
        <rFont val="Marianne"/>
        <scheme val="major"/>
      </rPr>
      <t>Enseignement et technique agricole</t>
    </r>
  </si>
  <si>
    <r>
      <t xml:space="preserve">P 142 </t>
    </r>
    <r>
      <rPr>
        <sz val="10"/>
        <color theme="1"/>
        <rFont val="Marianne"/>
        <scheme val="major"/>
      </rPr>
      <t>Enseignement supérieur et recherche agricoles</t>
    </r>
  </si>
  <si>
    <t>Dépenses budgétaires (hors compensations des dépenses sociales)</t>
  </si>
  <si>
    <t>… POSEI</t>
  </si>
  <si>
    <t>… à destination de la France hexagonale</t>
  </si>
  <si>
    <t>FEAGA</t>
  </si>
  <si>
    <t>Part mixte</t>
  </si>
  <si>
    <t>Part HVE</t>
  </si>
  <si>
    <t>Part non domm</t>
  </si>
  <si>
    <t>Financement mix</t>
  </si>
  <si>
    <t>Financement HVE</t>
  </si>
  <si>
    <t>Financement non domm</t>
  </si>
  <si>
    <t>France AgriMer</t>
  </si>
  <si>
    <t>Institut national de l'origine et de la qualité (INAO)</t>
  </si>
  <si>
    <t>Agence de services et de paiement (ASP)</t>
  </si>
  <si>
    <t>Agence nationale de sécurité sanitaire, de l'alimentation, de l'environnement et du travail (ANSES)</t>
  </si>
  <si>
    <t>Offices de l'eau (outre-mer)</t>
  </si>
  <si>
    <t>Chambres départementales d’agriculture</t>
  </si>
  <si>
    <t>Agences de l’eau</t>
  </si>
  <si>
    <t>Caisse centrale de la mutualité sociale agricole (CCMSA)</t>
  </si>
  <si>
    <t>Au prorata du résultat final</t>
  </si>
  <si>
    <t>Retraites</t>
  </si>
  <si>
    <t>Transferts nets depuis les autres régimes</t>
  </si>
  <si>
    <t>Contributions et impôts</t>
  </si>
  <si>
    <t>Transferts contributions et impôts versés aux régimes de retraite</t>
  </si>
  <si>
    <t>Source : tableau 22 de l'annexe 4 au PLFSS 24</t>
  </si>
  <si>
    <t>Dépenses sociales</t>
  </si>
  <si>
    <t>Exonération en faveur de jeunes chefs d'exploitations agricole</t>
  </si>
  <si>
    <t>Travailleurs occasionnels et demandeurs d’emploi (TO-DE)</t>
  </si>
  <si>
    <t>Taux de 2,10 % applicable aux ventes d'animaux de boucherie et de charcuterie à des personnes non assujetties à la TVA</t>
  </si>
  <si>
    <t>Soutien aux ventes des produits de l’élevage (P 149)</t>
  </si>
  <si>
    <t>Taux de 10 % applicable aux engrais, aux amendements calcaires et produits phytopharmaceutiques utilisables en agriculture biologique et aux matières fertilisantes ou supports de culture d'origine organique agricole</t>
  </si>
  <si>
    <t>Intrants agricoles (P 149)</t>
  </si>
  <si>
    <t>non côté</t>
  </si>
  <si>
    <t>Exonération des cessions de fonds agricoles</t>
  </si>
  <si>
    <t>Régimes spéciaux bénéficiant aux groupements et sociétés à objet agricole</t>
  </si>
  <si>
    <t>Exonération des acquisitions et des cessions réalisées par les SAFER.</t>
  </si>
  <si>
    <t>Mutations (ventes et transmissions, P 149)</t>
  </si>
  <si>
    <t>Association foncière pastorale</t>
  </si>
  <si>
    <t>Exonération en faveur des parcelles NATURA 2000</t>
  </si>
  <si>
    <t>Exonération totale en faveur des terres agricoles situées en Corse</t>
  </si>
  <si>
    <t>Dégrèvement d'office en faveur des jeunes agriculteurs</t>
  </si>
  <si>
    <t>Exonération partielle des terres agricoles situées dans les départements d'outre-mer</t>
  </si>
  <si>
    <t>Exonération de la part communale et intercommunale en faveur des terres agricoles à concurrence de 20 %</t>
  </si>
  <si>
    <t>97 en 2023, nc pour 24/25</t>
  </si>
  <si>
    <t>Pertes de récoltes ou de bétail</t>
  </si>
  <si>
    <t>Taxe foncière sur les propriétés non bâties (P 113, P 123 et P 149)</t>
  </si>
  <si>
    <t>Exonération de droits d'enregistrement et de timbre des sociétés coopératives agricoles de céréales, d'insémination artificielle et d'utilisation de matériel agricole</t>
  </si>
  <si>
    <t>Réduction d'impôt sur le revenu à raison des intérêts perçus au titre du différé de paiement accordé à des exploitants agricoles</t>
  </si>
  <si>
    <t>Exonération du salaire différé de l'héritier d'un exploitant agricole ayant cessé de participer directement et gratuitement à l'exploitation avant le 1er juillet 2014</t>
  </si>
  <si>
    <t>Report d'imposition de l'indemnité destinée à couvrir les dommages causés aux récoltes par des évènements climatiques à l'exercice de constatation de cette perte</t>
  </si>
  <si>
    <t>Exonération partielle des indemnités journalières versées aux exploitants agricoles au titre d'un régime d'assurance obligatoire contre les accidents du travail et les maladies professionnelles</t>
  </si>
  <si>
    <t>45 M€ pour 2025</t>
  </si>
  <si>
    <t>Provision pour augmentation de la valeur des stocks de vaches laitières et allaitantes</t>
  </si>
  <si>
    <t>Déduction pour les groupements d'employeurs des sommes inscrites à un compte d'affectation spéciale et destinées à couvrir leur responsabilité solidaire pour le paiement des dettes salariales</t>
  </si>
  <si>
    <t>Amortissement exceptionnel des bâtiments d'élevage et des matériels et installations destinés au stockage des effluents d'élevage égal à 40% du prix de revient des biens réparti linéairement sur cinq ans</t>
  </si>
  <si>
    <t>Déduction fiscale pour valorisation du cheptel</t>
  </si>
  <si>
    <t>Crédit d'impôt au titre des dépenses engagées par les exploitants agricoles pour assurer leur remplacement</t>
  </si>
  <si>
    <t>Crédit d’impôt en faveur des entreprises agricoles disposant d’une certification d’exploitation à haute valeur environnementale</t>
  </si>
  <si>
    <t>On ne sait pas ce qu'elles font par ailleurs</t>
  </si>
  <si>
    <t>Crédit d’impôt en faveur des entreprises agricoles qui n’utilisent pas de produits phytopharmaceutiques contenant la substance active du glyphosate</t>
  </si>
  <si>
    <t>Abattement sur les bénéfices réalisés par les jeunes agriculteurs</t>
  </si>
  <si>
    <t>Crédit d'impôt en faveur des entreprises agricoles utilisant le mode de production biologique</t>
  </si>
  <si>
    <t>Déduction de précaution</t>
  </si>
  <si>
    <t>Exonération sous certaines conditions des coopératives agricoles et de leurs unions, des coopératives artisanales et de leurs unions, des coopératives d'entreprises de transport, des coopératives artisanales de transport fluvial, des coopératives maritimes et de leurs unions</t>
  </si>
  <si>
    <t>Impôt sur le revenu et impôt sur les sociétés (P 149)</t>
  </si>
  <si>
    <t>Tarif réduit sur les gaz naturels consommés comme combustibles pour les besoins de la déshydratation de légumes et plantes aromatiques</t>
  </si>
  <si>
    <t>Tarif réduit (remboursement) pour les gaz naturels utilisés comme carburants ou combustibles pour les travaux agricoles et forestiers</t>
  </si>
  <si>
    <t>Sur la base de la SAU</t>
  </si>
  <si>
    <t>Tarif réduit (remboursement) pour les gazoles, les fiouls lourds et les gaz de pétrole liquéfiés utilisés pour les travaux agricoles et forestiers</t>
  </si>
  <si>
    <t>Énergies (P 149)</t>
  </si>
  <si>
    <t>Programme 215 - Conduite et pilotage des politiques de l'agriculture</t>
  </si>
  <si>
    <t>Programme 143 - Enseignement technique agricole</t>
  </si>
  <si>
    <t>Programme 142 - Enseignement supérieur et recherche agricoles</t>
  </si>
  <si>
    <t>Programme 206 - Sécurité et qualité sanitaires de l'alimentation</t>
  </si>
  <si>
    <t>Autres mesures hors forêt (plan protéines, diagnostic carbone, décarbonation en agriculture)</t>
  </si>
  <si>
    <t>Fonds en faveur de la souveraineté alimentaire et des transitions</t>
  </si>
  <si>
    <t>Soutien à l’agriculture biologique</t>
  </si>
  <si>
    <t>Plan haies</t>
  </si>
  <si>
    <t>29 – Planification écologique (hors foret)</t>
  </si>
  <si>
    <t>27 – Moyens de mise en œuvre des politiques publiques et gestion des interventions[5]</t>
  </si>
  <si>
    <t>Exonérations de charges sociales (exonération de charges patronales pour l’embauche de travailleurs occasionnels)</t>
  </si>
  <si>
    <t>Réglementation et sécurité au travail</t>
  </si>
  <si>
    <t>25 – Protection sociale</t>
  </si>
  <si>
    <t>Autres soutiens aux syndicats</t>
  </si>
  <si>
    <t>Animation et développement rural</t>
  </si>
  <si>
    <t>Pastoralisme et lutte contre la prédation</t>
  </si>
  <si>
    <t>Animation MAEC et Bio</t>
  </si>
  <si>
    <t>Mesures agroenvironnementales et climatiques (MAEC) et aides à l’agriculture biologique</t>
  </si>
  <si>
    <t>Indemnités compensatoires de handicaps naturels (ICHN)</t>
  </si>
  <si>
    <t>Foncier[4]</t>
  </si>
  <si>
    <t>Actions nationales en faveur du cheval</t>
  </si>
  <si>
    <t>Hydraulique agricole[3]</t>
  </si>
  <si>
    <t>Expertise technique eau, sols, énergie, biomasse, bioéconomie, économie circulaire et changement climatique</t>
  </si>
  <si>
    <t>24 – Gestion équilibrée et durable des territoires</t>
  </si>
  <si>
    <t>Prorata du résultat final FEAGA</t>
  </si>
  <si>
    <t>PAC 2023-2027 : transferts aux conseils régionaux</t>
  </si>
  <si>
    <t>Modernisation des exploitations[1]</t>
  </si>
  <si>
    <t>Comme ci-dessus</t>
  </si>
  <si>
    <t>Dotation aux jeunes agriculteurs (DJA)</t>
  </si>
  <si>
    <t>Aides aux coopératives d’utilisation de matériel agricole (CUMA)</t>
  </si>
  <si>
    <t>Stages à l’installation</t>
  </si>
  <si>
    <t>Aide à la cessation d’activité</t>
  </si>
  <si>
    <t>Indemnité viagère de départ (IVD) et complément de retraite pour les chefs d’exploitation rapatriés</t>
  </si>
  <si>
    <t>23 – Appui au renouvellement et à la modernisation des exploitations agricoles</t>
  </si>
  <si>
    <t>Fonds national de gestion des risques en agriculture (FNGRA) - calamités</t>
  </si>
  <si>
    <t>Fonds d’allègement des charges (FAC)</t>
  </si>
  <si>
    <t>Aide en faveur du redressement des exploitations en difficulté</t>
  </si>
  <si>
    <t>22 – Gestion des crises et des aléas de la production agricole</t>
  </si>
  <si>
    <t>Intervention en faveur des filières ultramarines</t>
  </si>
  <si>
    <t>Interventions de FranceAgriMer</t>
  </si>
  <si>
    <t>Soutien à la production de sucre dans les départements et régions d’Outre-Mer</t>
  </si>
  <si>
    <t>Fonds pour les industries agroalimentaires</t>
  </si>
  <si>
    <t>Fonds avenir bio</t>
  </si>
  <si>
    <t>Actions internationales</t>
  </si>
  <si>
    <t>21 – Adaptation des filières à l'évolution des marchés</t>
  </si>
  <si>
    <t>Programme 149</t>
  </si>
  <si>
    <t>à commenter spécifiquement pour illustrer</t>
  </si>
  <si>
    <t>FEAGA (POSEI)</t>
  </si>
  <si>
    <t xml:space="preserve">Régime spécifique d’approvisionnement </t>
  </si>
  <si>
    <t>Aides à l’importation d’animaux vivants</t>
  </si>
  <si>
    <t>Dispositifs POSEI Mayotte</t>
  </si>
  <si>
    <t>Structuration de l’élevage de La Réunion</t>
  </si>
  <si>
    <t>Structuration de l’élevage de Martinique</t>
  </si>
  <si>
    <t>Structuration de l’élevage en Guyane</t>
  </si>
  <si>
    <t>Structuration de l’élevage en Guadeloupe</t>
  </si>
  <si>
    <t>Structuration de l’élevage</t>
  </si>
  <si>
    <t>Prime aux petits ruminants</t>
  </si>
  <si>
    <t>Prime à l’abattage</t>
  </si>
  <si>
    <t>Aide au développement et au maintien du cheptel allaitant</t>
  </si>
  <si>
    <t>Prime animale aux éleveurs de ruminants</t>
  </si>
  <si>
    <t xml:space="preserve">MFPAL 5 : Mesures en faveur des productions animales </t>
  </si>
  <si>
    <t>Aide aux nouveaux entrants</t>
  </si>
  <si>
    <t>Dispositif POSEI Mayotte</t>
  </si>
  <si>
    <t>Aide à la production</t>
  </si>
  <si>
    <t>Mesures en faveur des productions végétales de Mayotte</t>
  </si>
  <si>
    <t>Productions végétales La Réunion</t>
  </si>
  <si>
    <t>Productions végétales Martinique</t>
  </si>
  <si>
    <t>Productions végétales Guyane</t>
  </si>
  <si>
    <t>Productions végétales Guadeloupe</t>
  </si>
  <si>
    <t>Mesures hors Mayotte</t>
  </si>
  <si>
    <t>MFPAL 4 : Mesures en faveur des productions végétales de diversification</t>
  </si>
  <si>
    <t>Aide à la transformation de canne en rhum agricole</t>
  </si>
  <si>
    <t>Aide au tonnage de canne livré</t>
  </si>
  <si>
    <t>Aide au maintien de l’activité sucrière</t>
  </si>
  <si>
    <t>MFPAL 3 : Mesures en faveur de la filière canne, sucre et rhum</t>
  </si>
  <si>
    <t>MFPAL 2 : Mesure en faveur de la filière banane</t>
  </si>
  <si>
    <t>Structuration des filières agricoles de Mayotte</t>
  </si>
  <si>
    <t>Animation et gestion des filières végétales (hors Mayotte)</t>
  </si>
  <si>
    <t>Animation et gestion des filières animales (hors Mayotte)</t>
  </si>
  <si>
    <t>Réseau de référence – productions animales et végétales</t>
  </si>
  <si>
    <t>Mesures en faveur des productions agricoles locales (MFPAL) 1 : Mesures transversales</t>
  </si>
  <si>
    <t>POSEI</t>
  </si>
  <si>
    <t>Réseau PAC</t>
  </si>
  <si>
    <t xml:space="preserve">… Assistance technique régions </t>
  </si>
  <si>
    <t>… Assistance technique État</t>
  </si>
  <si>
    <t>… Assistance technique conjointe État-Régions</t>
  </si>
  <si>
    <t>Accès à la formation, au conseil ; actions de diffusion et échanges de connaissances et d’informations*</t>
  </si>
  <si>
    <t>… Programme LEADER</t>
  </si>
  <si>
    <t>… Soutien aux projets pilotes, développement de nouveaux produits, pratiques, procédés et techniques dans les régions ultrapériphériques françaises</t>
  </si>
  <si>
    <t>… Autres projets de coopération répondant aux objectifs de la politique agricole commune</t>
  </si>
  <si>
    <t>… Coopération pour le renouvellement des générations en agriculture</t>
  </si>
  <si>
    <t>… Coopération pour la promotion, la commercialisation, le développement et la certification des systèmes de qualité</t>
  </si>
  <si>
    <t>… Encourager les organisations, groupements de producteurs ou organisations interprofessionnelles</t>
  </si>
  <si>
    <t>… Partenariat européen d’innovation*</t>
  </si>
  <si>
    <t>Coopération*</t>
  </si>
  <si>
    <t>Instrument de stabilisation du revenu de la filière betterave sucrière*</t>
  </si>
  <si>
    <t>… Fonds de mutualisation</t>
  </si>
  <si>
    <t>… Paiement des primes d’assurance</t>
  </si>
  <si>
    <t>Gestion des risques</t>
  </si>
  <si>
    <t>Dotation nouvel installé en agriculture*</t>
  </si>
  <si>
    <t>… Solde paiement RDR3*</t>
  </si>
  <si>
    <t>… Aides à l’installation en agriculture en Corse</t>
  </si>
  <si>
    <t>En proxy, on prend la répartition issue des paiements direct UE jeunes agri</t>
  </si>
  <si>
    <t>… Aides à l’installation en agriculture*</t>
  </si>
  <si>
    <t>Dotation jeunes agriculteurs*</t>
  </si>
  <si>
    <t>Création d’entreprises en milieu rural*</t>
  </si>
  <si>
    <t>Aides diverses*</t>
  </si>
  <si>
    <t>Investissements liés à la protection des exploitations contre la prédation</t>
  </si>
  <si>
    <t>Soutien aux activités économiques des entreprises rurales - Corse</t>
  </si>
  <si>
    <t>Aides aux infrastructures hydrauliques agricoles sur les territoires*</t>
  </si>
  <si>
    <t>… Investissements agricoles non productifs - Corse</t>
  </si>
  <si>
    <t>… Investissements agricoles non productifs - Hexagone</t>
  </si>
  <si>
    <t>Investissements agricoles non productifs</t>
  </si>
  <si>
    <t>… Investissements productifs « on farm » – Jeunes agriculteurs*</t>
  </si>
  <si>
    <t>… Investissements productifs « on farm » - Corse</t>
  </si>
  <si>
    <t>… Investissements productifs « on farm »– Hexagone*</t>
  </si>
  <si>
    <t>Aménagements ruraux et investissements*</t>
  </si>
  <si>
    <t>… Agriculture sous couvert forestier*</t>
  </si>
  <si>
    <t>… Petites exploitations hautement diversifiées*</t>
  </si>
  <si>
    <t>… Surfaces herbacées associées à un atelier d'élevage*</t>
  </si>
  <si>
    <t>… Vergers spécialisés*</t>
  </si>
  <si>
    <t>… Maraichage spécialisé*</t>
  </si>
  <si>
    <t>… Cultures de canne à sucre*</t>
  </si>
  <si>
    <t>… Cultures de bananes*</t>
  </si>
  <si>
    <t>… MAEC forfaitaire : « Lutte intégrée et protection de la qualité de l’eau » - Corse</t>
  </si>
  <si>
    <t>… Paiements au titre d’engagements agroenvironnementaux et climatiques : « Revitalisation et protection des sols » - Corse</t>
  </si>
  <si>
    <t>… Paiements au titre d’engagements agroenvironnementaux et climatiques : « Préservation et régénération de corridors écologiques favorables à la biodiversité sur les parcelles agricoles » - Corse</t>
  </si>
  <si>
    <t>… Paiements au titre d’engagements agroenvironnementaux et climatiques : « Restauration de la mosaïque du paysage agro-sylvo-pastoral et prévention des incendies » - Corse</t>
  </si>
  <si>
    <t>MAEC Corse</t>
  </si>
  <si>
    <t>… Protection des races menacées*</t>
  </si>
  <si>
    <t>… Dispositif de protection des troupeaux contre la prédation</t>
  </si>
  <si>
    <t>… Aide au gardiennage des troupeaux sur les territoires pastoraux hors zones de prédation</t>
  </si>
  <si>
    <t>… Engagement de gestion API (Amélioration du potentiel pollinisateur des abeilles)*</t>
  </si>
  <si>
    <t>… MAEC forfaitaire "Transition des pratiques"</t>
  </si>
  <si>
    <t>… Annuités 2025 et 2026 des engagements de 5 ans souscrits sur la période de transition 2021-2022</t>
  </si>
  <si>
    <t>… Entretien durable des infrastructures agro-écologiques</t>
  </si>
  <si>
    <t>… Maintien de la biodiversité par l'ouverture de milieux - DFCI</t>
  </si>
  <si>
    <t>… Préservation des espèces</t>
  </si>
  <si>
    <t>… Création de couverts d'intérêt pour la biodiversité, en particulier les pollinisateurs</t>
  </si>
  <si>
    <t>… Préservation de l'équilibre agro-écologique et de la biodiversité de milieux spécifiques</t>
  </si>
  <si>
    <t>… Climat, bien-être animal et autonomie alimentaire des élevages</t>
  </si>
  <si>
    <t>… Qualité et protection du sol</t>
  </si>
  <si>
    <t>… Qualité et gestion quantitative de l'eau pour les cultures pérennes</t>
  </si>
  <si>
    <t>… Qualité et gestion quantitative de l'eau pour les grandes cultures</t>
  </si>
  <si>
    <t>MAEC Hexagone et France entière*</t>
  </si>
  <si>
    <t>Aide au maintien en agriculture biologique - Régions ultrapériphériques*</t>
  </si>
  <si>
    <t>Aide à la conversion à l'agriculture biologique – Régions ultrapériphériques*</t>
  </si>
  <si>
    <t>Aide à la conversion à l’agriculture biologique - Corse</t>
  </si>
  <si>
    <t>Aide à la conversion à l'agriculture biologique – Hexagone (transition 2021-2022)</t>
  </si>
  <si>
    <t>Aide à la conversion à l'agriculture biologique - Hexagone</t>
  </si>
  <si>
    <t>Aides à l’agriculture biologique*</t>
  </si>
  <si>
    <t>… Guadeloupe - Montagne</t>
  </si>
  <si>
    <t>ICHN régions ultra périphériques*</t>
  </si>
  <si>
    <t>… Zones soumises à des contraintes spécifiques</t>
  </si>
  <si>
    <t>… Zones soumises à des contraintes naturelles</t>
  </si>
  <si>
    <t>… Montagne</t>
  </si>
  <si>
    <t>ICHN Corse</t>
  </si>
  <si>
    <t>ICHN Hexagone</t>
  </si>
  <si>
    <t>Indemnité de compensation des handicaps naturels (ICHN)*</t>
  </si>
  <si>
    <t>Question FEADER sur l'engagement 24/25 - à la DGPE</t>
  </si>
  <si>
    <t>… Actions pour développer la qualité de la production Apiculture</t>
  </si>
  <si>
    <t>… Promotion, communication Apiculture</t>
  </si>
  <si>
    <t>… Coopération, recherche appliquée Apiculture</t>
  </si>
  <si>
    <t>… Soutien aux laboratoires pour l'analyse des produits issus de l'apiculture Apiculture</t>
  </si>
  <si>
    <t>… Investissements matériels et immatériels Apiculture</t>
  </si>
  <si>
    <t>… Assistance technique, conseils, formation Apiculture</t>
  </si>
  <si>
    <t>Plan national apiculture</t>
  </si>
  <si>
    <t xml:space="preserve">    Promotion dans les pays tiers Vitiviniculture</t>
  </si>
  <si>
    <t xml:space="preserve">    Information dans l'UE Vitiviniculture</t>
  </si>
  <si>
    <t xml:space="preserve">    Distillation des sous-produits Vitiviniculture</t>
  </si>
  <si>
    <t xml:space="preserve">    Investissements matériels et immatériels Vitiviniculture</t>
  </si>
  <si>
    <t>En part de SAU</t>
  </si>
  <si>
    <t>Plan national vitiviniculture</t>
  </si>
  <si>
    <t>Programme opérationnel secteur cunicole</t>
  </si>
  <si>
    <t>Programme opérationnel protéines végétales (oléagineux, protéagineux et légumes secs)</t>
  </si>
  <si>
    <t>Programme opérationnel fourrages séchés</t>
  </si>
  <si>
    <t>Programme opérationnel viande bovine</t>
  </si>
  <si>
    <t>Programme opérationnel plantes vivantes et produits de la floriculture, bulbes, racines et produits similaires, fleurs coupées et feuillages pour ornement</t>
  </si>
  <si>
    <t>Programme opérationnel riz</t>
  </si>
  <si>
    <t>Programme opérationnel oléicole</t>
  </si>
  <si>
    <t>moyenne pondérée en SAU</t>
  </si>
  <si>
    <t>Programme opérationnel fruits et légumes</t>
  </si>
  <si>
    <t>Interventions sectorielles</t>
  </si>
  <si>
    <t>… Aide aux petits ruminants - Corse</t>
  </si>
  <si>
    <t>… Aide aux veaux</t>
  </si>
  <si>
    <t>… Aide couplée bovine - Corse</t>
  </si>
  <si>
    <t>… Aide bovine</t>
  </si>
  <si>
    <t>… Aide caprine</t>
  </si>
  <si>
    <t>En montant d'aides versées en 2023</t>
  </si>
  <si>
    <t>… Aide ovine</t>
  </si>
  <si>
    <t>Aides animales</t>
  </si>
  <si>
    <t>… Riz</t>
  </si>
  <si>
    <t>… Légumineuses à graines et aux légumineuses fourragères déshydratées ou destinées à la production de semences</t>
  </si>
  <si>
    <t xml:space="preserve">… Transformation des tomates </t>
  </si>
  <si>
    <t xml:space="preserve">… Transformation des prunes d'Ente </t>
  </si>
  <si>
    <t xml:space="preserve">… Transformation des poires Williams </t>
  </si>
  <si>
    <t xml:space="preserve">… Transformation des pêches Pavie </t>
  </si>
  <si>
    <t xml:space="preserve">… Transformation des cerises Bigarreau </t>
  </si>
  <si>
    <t>… Maraichage</t>
  </si>
  <si>
    <t>… Semences de graminées</t>
  </si>
  <si>
    <t>… Pommes de terre féculières</t>
  </si>
  <si>
    <t>… Houblon</t>
  </si>
  <si>
    <t>… Chanvre</t>
  </si>
  <si>
    <t>… Blé dur</t>
  </si>
  <si>
    <t>Aides végétales</t>
  </si>
  <si>
    <t>Aides liées aux produits (aides couplées)</t>
  </si>
  <si>
    <t>Paiement jeunes agriculteurs</t>
  </si>
  <si>
    <t>Paiement redistributif</t>
  </si>
  <si>
    <t xml:space="preserve">Eco-régime </t>
  </si>
  <si>
    <t>… Paiement de base Corse</t>
  </si>
  <si>
    <t>… Paiement de base hexagone</t>
  </si>
  <si>
    <t xml:space="preserve">Paiement de base </t>
  </si>
  <si>
    <t>Paiements de base et majoration (aides découplées)</t>
  </si>
  <si>
    <t>AIDES DU FEAGA</t>
  </si>
  <si>
    <t>Montant 
"à approfondir"</t>
  </si>
  <si>
    <t>Montant 
"Non domm."</t>
  </si>
  <si>
    <t>Part à approfondir</t>
  </si>
  <si>
    <t>Part BIO</t>
  </si>
  <si>
    <t>Aides au secteur agricole</t>
  </si>
  <si>
    <t>Programme 345 - Service public de l'énergie</t>
  </si>
  <si>
    <t>Programme 235 - Sûreté nucléaire et radioprotection</t>
  </si>
  <si>
    <t>Programme 181 - Subvention ADEME</t>
  </si>
  <si>
    <t>Financement 2025 (M€)</t>
  </si>
  <si>
    <t>Financement 2024 (M€)</t>
  </si>
  <si>
    <t>IRSN/ASN</t>
  </si>
  <si>
    <t>Réduction du champ de l'accise sur les produits énergétiques à usage carburants, dans les collectivités régies par l'article 73 de la Constitution, aux seuls essences et gazoles et faculté pour ces collectivités de minorer les tarifs</t>
  </si>
  <si>
    <t>Minoration de tarif pour les essences commercialisées en Corse</t>
  </si>
  <si>
    <t>Tarif réduit pour les gazoles utilisés pour réaliser des travaux statiques ou de terrassement pour les besoins de l'activité de manutention portuaire dans les ports maritimes et certains ports fluviaux exposés à la concurrence internationale (niveau d'intensité énergétique de l'entreprise au moins égal à 3 % en valeur de production ou 0,5 % en valeur ajoutée)</t>
  </si>
  <si>
    <t>Tarif réduit pour les gazoles utilisés pour réaliser des travaux statiques ou de terrassement pour les besoins de certaines activités extractives soumises à une forte concurrence internationale (niveau d'intensité énergétique de l'entreprise au moins égal à 3 % en valeur de production ou 0,5 % en valeur ajoutée)</t>
  </si>
  <si>
    <t>Tarif réduit pour les gazoles utilisés pour le transport ferroviaire de personnes ou de marchandises sur le réseau ferré national</t>
  </si>
  <si>
    <t>Tarif réduit (remboursement) pour les gazoles utilisés comme carburant des véhicules de transport public collectif de voyageurs</t>
  </si>
  <si>
    <t>Tarif réduit (remboursement) pour les gazoles utilisés comme carburant par les véhicules routiers de transport de marchandises d'au moins 7,5 tonnes</t>
  </si>
  <si>
    <t>Tarif réduit (remboursement) pour les carburants utilisés par les taxis</t>
  </si>
  <si>
    <t>Tarif réduit pour l’électricité consommée par les centres de stockage de données numériques performants sur le plan énergétique</t>
  </si>
  <si>
    <t>Tarif réduit pour l’électricité consommée par les installations hyperélectro-intensives (niveau d'électro-intensité au moins égal à 13,5 %)</t>
  </si>
  <si>
    <t>Tarifs réduits pour l'électricité consommée par les installations industrielles exploitées par des entreprises électro-intensives relevant de secteurs fortement exposés à la concurrence internationale (niveau d'électro-intensité au moins égal à 0,5 %)</t>
  </si>
  <si>
    <t>Déduction exceptionnelle en faveur de l’investissement des entreprises utilisatrices d’engins fonctionnant au GNR dans l’acquisition de matériels fonctionnant avec des carburants alternatifs</t>
  </si>
  <si>
    <r>
      <t>Tarif réduit pour l’électricité consommée par les installations industrielles situées au s</t>
    </r>
    <r>
      <rPr>
        <sz val="10"/>
        <color rgb="FF000000"/>
        <rFont val="Cambria"/>
        <family val="1"/>
      </rPr>
      <t>ein de sites industriels électro‑intensifs ou d'entreprises industrielles électro‑intensives</t>
    </r>
  </si>
  <si>
    <t>Déductibilité de la composante "émissions dans l'air" des contributions ou dons de toute nature versés aux associations agréées de surveillance de la qualité de l’air</t>
  </si>
  <si>
    <t>Réduction des émissions, ou de la puissance administrative, prises en compte dans le barème du malus à hauteur de 80 grammes par kilomètre, ou de 4 CV, pour les véhicules comportant au moins 8 places assises dont disposent les personnes morales</t>
  </si>
  <si>
    <t>Réduction des émissions, ou de la puissance administrative, prises en compte dans le barème du malus à hauteur de 20 grammes par kilomètre, ou d'un CV, par enfant à charge ou accueilli au titre de l’aide sociale, lorsque le nombre d’enfants au sein du foyer fiscal est d’au moins trois</t>
  </si>
  <si>
    <t>Réduction des émissions de CO2, ou de la puissance administrative, prises en compte dans le barème du malus à hauteur de 40 %, ou de deux CV, pour certains véhicules de tourisme dont la source d'énergie comprend le superéthanol E85</t>
  </si>
  <si>
    <t>Abattement de malus masse au profit des véhicules hybrides non rechargeables et des véhicules hybrides rechargeables moins performants</t>
  </si>
  <si>
    <t>Réduction de la masse en ordre de marche, prise en compte dans le tarif de la taxe, à hauteur de 400 kg pour les véhicules comportant au moins huit places assises dont disposent les personnes morales</t>
  </si>
  <si>
    <t>Exonération pour les véhicules de tourisme pour les véhicules hybrides électriques présentant une autonomie en mode tout électrique supérieure à 50 km</t>
  </si>
  <si>
    <t>Exonération pour les véhicules dont la source d’énergie est exclusivement l'électricité, l'hydrogène ou une combinaison des deux</t>
  </si>
  <si>
    <t>Tarif réduit pour les charbons consommés dans les installations grandes consommatrices d’énergie et soumises au régime des quotas d’émission de gaz à effet de serre du dispositif ETS (niveau d'intensité énergétique au moins égal à 3 % en valeur de production ou 0,5 % en valeur ajoutée)</t>
  </si>
  <si>
    <t>Tarif réduit (nul) pour les charbons consommés pour les besoins de la valorisation de la biomasse par les entreprises soumises au régime des quotas d'émision de gaz à effet de serre du dispositif ETS (ou à un dispositif poursuivant des objectifs équivalents) et dont les achats de combustibles et d'électricité utilisés pour cette valorisation représentent au moins 3 % de leur valeur de production</t>
  </si>
  <si>
    <t>Tarif réduit pour les gaz naturels consommés comme combustible dans les installations grandes consommatrices d'énergie exerçant une activité considérée comme fortement exposée à la concurrence internationale (niveau d'intensité énergétique au moins égal à 3 % en valeur de production ou 0,5 % en valeur ajoutée)</t>
  </si>
  <si>
    <t>Tarif réduit pour les gaz naturels consommés comme combustible dans les installations grandes consommatrices d’énergie et soumises au régime des quotas d’émission de gaz à effet de serre du dispositif ETS (niveau d'intensité énergétique au moins égal à 3 % en valeur de production ou 0,5 % en valeur ajoutée)</t>
  </si>
  <si>
    <t>Tarif particulier (nul) de l'usage combustible du biogaz non injecté dans le réseau de gaz naturel</t>
  </si>
  <si>
    <t>Tarif particulier pour le superéthanol  E85, carburant essence comprenant au moins 65 % d'éthanol</t>
  </si>
  <si>
    <t>Tarif particulier pour le B100, carburant diesel synthétisé à partir d'acides gras</t>
  </si>
  <si>
    <t>Tarif particulier pour l'E10, carburant essence pouvant contenir jusqu’à 10 % d’éthanol</t>
  </si>
  <si>
    <t>Tarif réduit des gazoles non routiers autre que celui utilisé pour les usages agricoles</t>
  </si>
  <si>
    <t>Taux de 5,5 % pour les prestations de pose, d’installation et d’entretien d’infrastructures de recharge pour véhicules électriques</t>
  </si>
  <si>
    <t>Taux de 5,5% pour la fourniture par réseaux d'énergie d'origine renouvelable</t>
  </si>
  <si>
    <t>Exonération d’impôt sur les bénéfices pour les entreprises créées dans les bassins urbains à dynamiser (BUD)</t>
  </si>
  <si>
    <t>Réduction d’impôt « Prêt à taux zéro » pour l’acquisition de véhicules légers peu polluants</t>
  </si>
  <si>
    <t>Déduction exceptionnelle de 40% en faveur des entreprises investissant dans des équipements de réfrigération et de traitement de l’air utilisant des fluides autres que les hydrofluorocarbures (HFC)</t>
  </si>
  <si>
    <t>Déduction exceptionnelle en faveur des acquisitions de véhicules de 3,5 tonnes et plus fonctionnant exclusivement au gaz naturel, ou au biométhane, ou au carburant ED95, ou au B100, ou au dual fuel de type 1 A</t>
  </si>
  <si>
    <t>Exonération des produits de la vente d'électricité issue de l'énergie radiative du soleil</t>
  </si>
  <si>
    <t>Crédit d’impôt destiné à l’acquisition et à la pose de systèmes de charge pour véhicule électrique</t>
  </si>
  <si>
    <t>050204</t>
  </si>
  <si>
    <t>n° DF</t>
  </si>
  <si>
    <t>PG</t>
  </si>
  <si>
    <t>Compensation carbone</t>
  </si>
  <si>
    <t xml:space="preserve">   Action 23 : Industries et services - compensation carbone</t>
  </si>
  <si>
    <t>Programme 134 - Développement des entreprises et régulation</t>
  </si>
  <si>
    <t>Action 18 - Soutien hydrogène</t>
  </si>
  <si>
    <t>Mesures à destination des consommateurs de gaz</t>
  </si>
  <si>
    <t>Mesures à destination des consommateurs d'électricité</t>
  </si>
  <si>
    <t xml:space="preserve">   Action 17 - Mesures exceptionnelles de protection des consommateurs</t>
  </si>
  <si>
    <t xml:space="preserve">   Action 15 - Frais divers</t>
  </si>
  <si>
    <t>Autres dispositifs de lutte contre la précarité énergétique</t>
  </si>
  <si>
    <t>Dispositif d'affichage déporté de la consommation d'énergie</t>
  </si>
  <si>
    <t>Compensation des versements au fond de solidarité logement</t>
  </si>
  <si>
    <t xml:space="preserve">   Action 14 - Dispositions sociales pour les consommateurs en situation de précarité énergétique</t>
  </si>
  <si>
    <t xml:space="preserve">   Action 13 - Soutien aux effacements</t>
  </si>
  <si>
    <t xml:space="preserve">   Action 12 - Soutien à la cogénération au gaz naturel et autres moyens thermiques</t>
  </si>
  <si>
    <t>Zones non interconnectées - Centrales charbon</t>
  </si>
  <si>
    <t>Zones non interconnectées - Centrales thermiques (fioul ou gaz)</t>
  </si>
  <si>
    <t>Mécanismes de solidarité avec les ZNI</t>
  </si>
  <si>
    <t>Zones non interconnectées - Interconnexion</t>
  </si>
  <si>
    <t>Zones non interconnectées - Hydraulique</t>
  </si>
  <si>
    <t>Zones non interconnectées - Géothermie</t>
  </si>
  <si>
    <t>Zones non interconnectées - Biomasse</t>
  </si>
  <si>
    <t>Zones non interconnectées - Biogaz</t>
  </si>
  <si>
    <t>Zones non interconnectées - Photovoltaïque sur toiture</t>
  </si>
  <si>
    <t>Zones non interconnectées - Photovoltaïque au sol</t>
  </si>
  <si>
    <t>Zones non interconnectées - Éolien terrestre</t>
  </si>
  <si>
    <t>Soutien à la transition énergétique dans les ZNI</t>
  </si>
  <si>
    <t xml:space="preserve">   Action - 11 - Soutien dans les zones non interconnectées au réseau métropolitain </t>
  </si>
  <si>
    <t xml:space="preserve">   Action 10 - Soutien à l'injection de biométhane</t>
  </si>
  <si>
    <t>Métropole continentale - Autres énergies (incinération, centrale à cycle combiné gaz, gaz de mines, surplus ELD)</t>
  </si>
  <si>
    <t>Autres énergies - Métropole continentale - Hydraulique</t>
  </si>
  <si>
    <t>Autres énergies - Métropole continentale - Géothermie</t>
  </si>
  <si>
    <t>Bio-énergies - Métropole continentale - Biomasse</t>
  </si>
  <si>
    <t>Bio-énergies - Métropole continentale - Biogaz</t>
  </si>
  <si>
    <t>Solaire photovoltaïque - Métropole continentale - Solaire photovoltaïque sur toiture</t>
  </si>
  <si>
    <t>Solaire photovoltaïque - Métropole continentale - Solaire photovoltaïque au sol</t>
  </si>
  <si>
    <t>Métropole continentale - Éolien en mer</t>
  </si>
  <si>
    <t>Métropole continentale - Éolien terrestre</t>
  </si>
  <si>
    <t xml:space="preserve">   Action 01 : Soutien aux énergies renouvelables électriques en métropole continentale</t>
  </si>
  <si>
    <t xml:space="preserve">   Action 02 : Sûreté nucléaire et radio-protection</t>
  </si>
  <si>
    <t xml:space="preserve">   Action 01 : Personnels oeuvrant pour la politique en matière de sûreté nucléaire et radio-protection</t>
  </si>
  <si>
    <t>dont reste</t>
  </si>
  <si>
    <t>dont fonds chaleur</t>
  </si>
  <si>
    <t>Programme 181 Action 12 : subvention ADEME</t>
  </si>
  <si>
    <t>Fonctionnement DGEC</t>
  </si>
  <si>
    <t xml:space="preserve">   Action 06 : Soutien</t>
  </si>
  <si>
    <t>Contrôles des carburants</t>
  </si>
  <si>
    <t>Surveillance du marché</t>
  </si>
  <si>
    <t>Etudes et essais dans le domaine des émissions des véhicules</t>
  </si>
  <si>
    <t>Centre interprofessionnel technique d'études de la pollution atmosphérique (CITEPA)</t>
  </si>
  <si>
    <t>Surveillance de la qualité de l'air</t>
  </si>
  <si>
    <t>Lutte contre l'effet de serre</t>
  </si>
  <si>
    <t xml:space="preserve">   Action 05 : Lutte contre le changement climatique et pour la qualité de l'air</t>
  </si>
  <si>
    <t>Charbonnages</t>
  </si>
  <si>
    <t>Intervention après-mines (hors ANGDM)</t>
  </si>
  <si>
    <t>Agence nationale de garantie des droits des mineurs (ANGDM)</t>
  </si>
  <si>
    <t xml:space="preserve">   Action 04 : Gestion économique et sociale de l'après-mines</t>
  </si>
  <si>
    <t>Aides au retrait de véhicules polluants</t>
  </si>
  <si>
    <t>Aides à l'acquisition de véhicules propres</t>
  </si>
  <si>
    <t xml:space="preserve">   Action 03 : Aides à l'acquisition de véhicules propres</t>
  </si>
  <si>
    <t>Chèque énergie</t>
  </si>
  <si>
    <t>Prime transition énergétique 'MaPrimeRénov"</t>
  </si>
  <si>
    <t xml:space="preserve">   Action 02 : Accompagnement transition énergétique</t>
  </si>
  <si>
    <t>Revitalisation des territoires</t>
  </si>
  <si>
    <t>Politique de l'énergie hors ADEME et ANDRA</t>
  </si>
  <si>
    <t>Agence nationale pour la gestion des déchets radioactifs (ANDRA)</t>
  </si>
  <si>
    <t xml:space="preserve">   Action 01 : Politique de l'énergie</t>
  </si>
  <si>
    <t>Dépenses mixtes 2025</t>
  </si>
  <si>
    <t>Dépenses mixtes 2024</t>
  </si>
  <si>
    <t>PLF 2025</t>
  </si>
  <si>
    <t>PLF 2024</t>
  </si>
  <si>
    <t>Aides au secteur "énergie"</t>
  </si>
  <si>
    <t>Total dépenses fiscales</t>
  </si>
  <si>
    <t>Autres dépenses fiscales (PG 112 et 123)</t>
  </si>
  <si>
    <t>Dépenses fiscales PG 203</t>
  </si>
  <si>
    <t>Dépenses fiscales PG 134</t>
  </si>
  <si>
    <t>Dépenses fiscales PG 174</t>
  </si>
  <si>
    <t>Programme 235 - Sûreté nucléaire et radioprotection (par exception, PLF 2025)</t>
  </si>
  <si>
    <t>Action 01 – Régimes de retraite et de sécurité sociale des marins</t>
  </si>
  <si>
    <t>Agriculture</t>
  </si>
  <si>
    <t>TOTAL</t>
  </si>
  <si>
    <t>Affaires maritimes</t>
  </si>
  <si>
    <t>Aménagement</t>
  </si>
  <si>
    <t>Energie</t>
  </si>
  <si>
    <t>Part indéterminé</t>
  </si>
  <si>
    <t>Tableau résumé (pour TOTAL)</t>
  </si>
  <si>
    <t>Part impact indéterminé</t>
  </si>
  <si>
    <t>Financement impact indéterminé (M€)</t>
  </si>
  <si>
    <t>Récapitulatif</t>
  </si>
  <si>
    <t>Secteur</t>
  </si>
  <si>
    <t>Énergie</t>
  </si>
  <si>
    <t>… dont HVE</t>
  </si>
  <si>
    <t>part HVE</t>
  </si>
  <si>
    <t>Répartitoin des financements à revoir (%)</t>
  </si>
  <si>
    <t>Financements à revoir (Md€)</t>
  </si>
  <si>
    <t>… Légumineuses fourragères en zone de plaine et de piémont</t>
  </si>
  <si>
    <t>… Légumineuses fourragères dans les zones de montagne</t>
  </si>
  <si>
    <t>… Aide ovine aux nouveaux producteurs</t>
  </si>
  <si>
    <t>Total PSN 23-27</t>
  </si>
  <si>
    <t>Restructuration et reconversion de vignobles Vitiviniculture</t>
  </si>
  <si>
    <r>
      <t>…</t>
    </r>
    <r>
      <rPr>
        <sz val="10"/>
        <color theme="1"/>
        <rFont val="Marianne"/>
        <scheme val="major"/>
      </rPr>
      <t xml:space="preserve"> </t>
    </r>
    <r>
      <rPr>
        <sz val="10"/>
        <color rgb="FF000000"/>
        <rFont val="Marianne"/>
        <scheme val="major"/>
      </rPr>
      <t>Guadeloupe - Zones soumises à des contraintes spécifiques</t>
    </r>
  </si>
  <si>
    <r>
      <t>…</t>
    </r>
    <r>
      <rPr>
        <sz val="10"/>
        <color theme="1"/>
        <rFont val="Marianne"/>
        <scheme val="major"/>
      </rPr>
      <t xml:space="preserve"> </t>
    </r>
    <r>
      <rPr>
        <sz val="10"/>
        <color rgb="FF000000"/>
        <rFont val="Marianne"/>
        <scheme val="major"/>
      </rPr>
      <t>Guyane - Zones soumises à des contraintes spécifiques</t>
    </r>
  </si>
  <si>
    <r>
      <t>…</t>
    </r>
    <r>
      <rPr>
        <sz val="10"/>
        <color theme="1"/>
        <rFont val="Marianne"/>
        <scheme val="major"/>
      </rPr>
      <t xml:space="preserve"> </t>
    </r>
    <r>
      <rPr>
        <sz val="10"/>
        <color rgb="FF000000"/>
        <rFont val="Marianne"/>
        <scheme val="major"/>
      </rPr>
      <t>La Réunion - Montagne</t>
    </r>
  </si>
  <si>
    <r>
      <t>…</t>
    </r>
    <r>
      <rPr>
        <sz val="10"/>
        <color theme="1"/>
        <rFont val="Marianne"/>
        <scheme val="major"/>
      </rPr>
      <t xml:space="preserve"> </t>
    </r>
    <r>
      <rPr>
        <sz val="10"/>
        <color rgb="FF000000"/>
        <rFont val="Marianne"/>
        <scheme val="major"/>
      </rPr>
      <t>La Réunion - Zones soumises à des contraintes spécifiques</t>
    </r>
  </si>
  <si>
    <r>
      <t>…</t>
    </r>
    <r>
      <rPr>
        <sz val="10"/>
        <color theme="1"/>
        <rFont val="Marianne"/>
        <scheme val="major"/>
      </rPr>
      <t xml:space="preserve"> </t>
    </r>
    <r>
      <rPr>
        <sz val="10"/>
        <color rgb="FF000000"/>
        <rFont val="Marianne"/>
        <scheme val="major"/>
      </rPr>
      <t>Martinique - Montagne</t>
    </r>
  </si>
  <si>
    <r>
      <t>…</t>
    </r>
    <r>
      <rPr>
        <sz val="10"/>
        <color theme="1"/>
        <rFont val="Marianne"/>
        <scheme val="major"/>
      </rPr>
      <t xml:space="preserve"> </t>
    </r>
    <r>
      <rPr>
        <sz val="10"/>
        <color rgb="FF000000"/>
        <rFont val="Marianne"/>
        <scheme val="major"/>
      </rPr>
      <t>Martinique - Zones soumises à des contraintes spécifiques</t>
    </r>
  </si>
  <si>
    <r>
      <t>…</t>
    </r>
    <r>
      <rPr>
        <sz val="10"/>
        <color theme="1"/>
        <rFont val="Marianne"/>
        <scheme val="major"/>
      </rPr>
      <t xml:space="preserve"> </t>
    </r>
    <r>
      <rPr>
        <sz val="10"/>
        <color rgb="FF000000"/>
        <rFont val="Marianne"/>
        <scheme val="major"/>
      </rPr>
      <t>Mayotte - Zones soumises à des contraintes naturelles</t>
    </r>
  </si>
  <si>
    <r>
      <t>…</t>
    </r>
    <r>
      <rPr>
        <sz val="10"/>
        <color theme="1"/>
        <rFont val="Marianne"/>
        <scheme val="major"/>
      </rPr>
      <t xml:space="preserve"> </t>
    </r>
    <r>
      <rPr>
        <sz val="10"/>
        <color rgb="FF000000"/>
        <rFont val="Marianne"/>
        <scheme val="major"/>
      </rPr>
      <t>Mayotte - Zones soumises à des contraintes spécifiques</t>
    </r>
  </si>
  <si>
    <r>
      <t>Mesures agro-environnementales et climatiques (MAEC)</t>
    </r>
    <r>
      <rPr>
        <sz val="10"/>
        <color rgb="FF000000"/>
        <rFont val="Marianne"/>
        <scheme val="major"/>
      </rPr>
      <t>*</t>
    </r>
  </si>
  <si>
    <t>MAEC régions ultrapériphériques*</t>
  </si>
  <si>
    <t>Investissements productifs « on farm »*</t>
  </si>
  <si>
    <t>Soutien aux activités économiques des entreprises « off farm »*</t>
  </si>
  <si>
    <t>Source de financement</t>
  </si>
  <si>
    <t>Dispositifs recensés</t>
  </si>
  <si>
    <t>Dispositifs à améliorer</t>
  </si>
  <si>
    <t>% à améliorer</t>
  </si>
  <si>
    <t>Financement à revoir (%)</t>
  </si>
  <si>
    <r>
      <t xml:space="preserve">P 775 </t>
    </r>
    <r>
      <rPr>
        <sz val="10"/>
        <color theme="1"/>
        <rFont val="Marianne"/>
        <scheme val="major"/>
      </rPr>
      <t>Développement agricole et rural</t>
    </r>
  </si>
  <si>
    <t>Programme 775 - Développement et transfert en agriculture</t>
  </si>
  <si>
    <t xml:space="preserve">Programme 380 : </t>
  </si>
  <si>
    <t>Financements à revoir en priorité (Md€)</t>
  </si>
  <si>
    <t>Financement à revoir (M€)</t>
  </si>
  <si>
    <t>Financements à revoir en priorité (%)</t>
  </si>
  <si>
    <t>Montant 
"à approfondir en priorité"</t>
  </si>
  <si>
    <t>Financement à approfondir en priorité (Md€)</t>
  </si>
  <si>
    <t>Part prioritaire</t>
  </si>
  <si>
    <t>Financement à approfondir  (Md€)</t>
  </si>
  <si>
    <t xml:space="preserve">Part </t>
  </si>
  <si>
    <t>Montant "prioritaire"</t>
  </si>
  <si>
    <t>Part 
"à approfondir en priorité"</t>
  </si>
  <si>
    <t>Part Prioritaire</t>
  </si>
  <si>
    <t>Montant Prioritaire</t>
  </si>
  <si>
    <t>Dépenses à approfondir</t>
  </si>
  <si>
    <t>Financement Prioritaire (M€)</t>
  </si>
  <si>
    <t>Dépenses à approfondir (M€)</t>
  </si>
  <si>
    <t>Nombre de dépenses non chiffrées</t>
  </si>
  <si>
    <t>Financement à approfondir en priorité (M€)</t>
  </si>
  <si>
    <t xml:space="preserve">Part à approfondir en priorité </t>
  </si>
  <si>
    <t>Financement à approfondir (M€)</t>
  </si>
  <si>
    <t>Montant prioritaire</t>
  </si>
  <si>
    <t xml:space="preserve">Financement à approfondir </t>
  </si>
  <si>
    <t xml:space="preserve">Part à approfondir </t>
  </si>
  <si>
    <t>Montant priortaire 2024</t>
  </si>
  <si>
    <t>Montant prioritaire 2025</t>
  </si>
  <si>
    <t>Financement prioritaire 2024 (M€)</t>
  </si>
  <si>
    <t>Part prioritaire 2024</t>
  </si>
  <si>
    <t>Financement à approfondir 2024</t>
  </si>
  <si>
    <t>Part 2024</t>
  </si>
  <si>
    <t>Financement prioritaire 2025 (M€)</t>
  </si>
  <si>
    <t>Part prioritaire  2025</t>
  </si>
  <si>
    <t>Financement à approfondir 2025</t>
  </si>
  <si>
    <t>Part 2025</t>
  </si>
  <si>
    <t>Financement prioritaire (M€)</t>
  </si>
  <si>
    <t xml:space="preserve">Part prioritaire </t>
  </si>
  <si>
    <t>Financement à appronfodir (M€)</t>
  </si>
  <si>
    <t>Financement à revoir sur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</si>
</sst>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_-;\-* #,##0.00\ _€_-;_-* &quot;-&quot;??\ _€_-;_-@_-"/>
    <numFmt numFmtId="165" formatCode="_-* #,##0.0\ _€_-;\-* #,##0.0\ _€_-;_-* &quot;-&quot;??\ _€_-;_-@_-"/>
    <numFmt numFmtId="166" formatCode="0.0%"/>
    <numFmt numFmtId="167" formatCode="0.0"/>
    <numFmt numFmtId="168" formatCode="_-* #,##0\ _€_-;\-* #,##0\ _€_-;_-* &quot;-&quot;??\ _€_-;_-@_-"/>
    <numFmt numFmtId="169" formatCode="#,##0.0"/>
    <numFmt numFmtId="170" formatCode="_-* #,##0.0\ _€_-;\-* #,##0.0\ _€_-;_-* &quot;-&quot;?\ _€_-;_-@_-"/>
    <numFmt numFmtId="171" formatCode="_-* #,##0.0_-;\-* #,##0.0_-;_-* &quot;-&quot;??_-;_-@_-"/>
    <numFmt numFmtId="172" formatCode="0%;\-0%;\-\-"/>
    <numFmt numFmtId="173" formatCode="_-* #,##0_-;\-* #,##0_-;_-* &quot;-&quot;??_-;_-@_-"/>
  </numFmts>
  <fonts count="32" x14ac:knownFonts="1">
    <font>
      <sz val="11"/>
      <color theme="1"/>
      <name val="Marianne"/>
      <family val="2"/>
      <scheme val="minor"/>
    </font>
    <font>
      <sz val="11"/>
      <color theme="1"/>
      <name val="Marianne"/>
      <family val="2"/>
      <scheme val="minor"/>
    </font>
    <font>
      <sz val="11"/>
      <color theme="1"/>
      <name val="Marianne"/>
      <scheme val="major"/>
    </font>
    <font>
      <b/>
      <sz val="10"/>
      <color rgb="FF000000"/>
      <name val="Marianne"/>
      <scheme val="major"/>
    </font>
    <font>
      <sz val="10"/>
      <color rgb="FF000000"/>
      <name val="Marianne"/>
      <scheme val="major"/>
    </font>
    <font>
      <b/>
      <sz val="11"/>
      <color theme="1"/>
      <name val="Marianne"/>
      <scheme val="major"/>
    </font>
    <font>
      <b/>
      <sz val="10"/>
      <color theme="1"/>
      <name val="Cambria"/>
      <family val="1"/>
    </font>
    <font>
      <b/>
      <sz val="14"/>
      <color theme="0"/>
      <name val="Marianne"/>
      <scheme val="major"/>
    </font>
    <font>
      <sz val="11"/>
      <name val="Marianne"/>
      <scheme val="major"/>
    </font>
    <font>
      <b/>
      <sz val="11"/>
      <name val="Marianne"/>
      <scheme val="major"/>
    </font>
    <font>
      <b/>
      <sz val="10"/>
      <name val="Marianne"/>
      <scheme val="major"/>
    </font>
    <font>
      <sz val="10"/>
      <name val="Marianne"/>
      <scheme val="major"/>
    </font>
    <font>
      <i/>
      <sz val="10"/>
      <color rgb="FF000000"/>
      <name val="Marianne"/>
      <scheme val="major"/>
    </font>
    <font>
      <sz val="10"/>
      <color theme="1"/>
      <name val="Marianne"/>
      <scheme val="major"/>
    </font>
    <font>
      <b/>
      <sz val="10"/>
      <color theme="1"/>
      <name val="Marianne"/>
      <scheme val="major"/>
    </font>
    <font>
      <sz val="10"/>
      <color rgb="FF000000"/>
      <name val="Cambria"/>
      <family val="1"/>
    </font>
    <font>
      <i/>
      <sz val="11"/>
      <color theme="1"/>
      <name val="Marianne"/>
      <scheme val="major"/>
    </font>
    <font>
      <b/>
      <i/>
      <sz val="10"/>
      <color rgb="FF000000"/>
      <name val="Marianne"/>
      <scheme val="major"/>
    </font>
    <font>
      <i/>
      <sz val="10"/>
      <color theme="1"/>
      <name val="Marianne"/>
      <scheme val="major"/>
    </font>
    <font>
      <b/>
      <i/>
      <sz val="10"/>
      <name val="Marianne"/>
      <scheme val="major"/>
    </font>
    <font>
      <b/>
      <sz val="9"/>
      <color indexed="81"/>
      <name val="Tahoma"/>
      <family val="2"/>
    </font>
    <font>
      <sz val="9"/>
      <color indexed="81"/>
      <name val="Tahoma"/>
      <family val="2"/>
    </font>
    <font>
      <sz val="10"/>
      <color rgb="FFFF0000"/>
      <name val="Marianne"/>
      <scheme val="major"/>
    </font>
    <font>
      <b/>
      <i/>
      <sz val="11"/>
      <color theme="1"/>
      <name val="Marianne"/>
      <scheme val="major"/>
    </font>
    <font>
      <b/>
      <sz val="11"/>
      <color theme="1"/>
      <name val="Marianne"/>
      <scheme val="minor"/>
    </font>
    <font>
      <b/>
      <sz val="10"/>
      <color theme="0"/>
      <name val="Marianne"/>
      <scheme val="major"/>
    </font>
    <font>
      <i/>
      <sz val="10"/>
      <name val="Marianne"/>
      <scheme val="major"/>
    </font>
    <font>
      <b/>
      <sz val="10"/>
      <color rgb="FF000000"/>
      <name val="Cambria"/>
      <family val="1"/>
    </font>
    <font>
      <i/>
      <sz val="10"/>
      <color rgb="FF000000"/>
      <name val="Cambria"/>
      <family val="1"/>
    </font>
    <font>
      <i/>
      <sz val="10"/>
      <color theme="1"/>
      <name val="Cambria"/>
      <family val="1"/>
    </font>
    <font>
      <b/>
      <i/>
      <sz val="10"/>
      <color theme="1"/>
      <name val="Marianne"/>
      <scheme val="major"/>
    </font>
    <font>
      <sz val="11"/>
      <color theme="1"/>
      <name val="Marianne"/>
      <scheme val="minor"/>
    </font>
  </fonts>
  <fills count="12">
    <fill>
      <patternFill patternType="none"/>
    </fill>
    <fill>
      <patternFill patternType="gray125"/>
    </fill>
    <fill>
      <patternFill patternType="solid">
        <fgColor rgb="FFFFFFFF"/>
        <bgColor indexed="64"/>
      </patternFill>
    </fill>
    <fill>
      <patternFill patternType="solid">
        <fgColor rgb="FFE0E0E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444">
    <xf numFmtId="0" fontId="0" fillId="0" borderId="0" xfId="0"/>
    <xf numFmtId="0" fontId="2" fillId="0" borderId="0" xfId="0" applyFont="1"/>
    <xf numFmtId="165" fontId="3" fillId="3" borderId="0" xfId="2" applyNumberFormat="1" applyFont="1" applyFill="1" applyBorder="1" applyAlignment="1">
      <alignment horizontal="right" vertical="center" wrapText="1"/>
    </xf>
    <xf numFmtId="166" fontId="3" fillId="3" borderId="0" xfId="2" applyNumberFormat="1" applyFont="1" applyFill="1" applyBorder="1" applyAlignment="1">
      <alignment horizontal="right" vertical="center" wrapText="1"/>
    </xf>
    <xf numFmtId="9" fontId="3" fillId="3" borderId="0" xfId="1" applyFont="1" applyFill="1" applyBorder="1" applyAlignment="1">
      <alignment horizontal="right" vertical="center" wrapText="1"/>
    </xf>
    <xf numFmtId="0" fontId="3" fillId="3" borderId="0" xfId="0" applyFont="1" applyFill="1" applyAlignment="1">
      <alignment horizontal="right" vertical="center" wrapText="1"/>
    </xf>
    <xf numFmtId="0" fontId="3" fillId="3" borderId="0" xfId="0" applyFont="1" applyFill="1" applyAlignment="1">
      <alignment vertical="center" wrapText="1"/>
    </xf>
    <xf numFmtId="167" fontId="3" fillId="2" borderId="0" xfId="0" applyNumberFormat="1" applyFont="1" applyFill="1" applyAlignment="1">
      <alignment horizontal="right" vertical="center" wrapText="1"/>
    </xf>
    <xf numFmtId="9" fontId="4" fillId="2" borderId="0" xfId="0" applyNumberFormat="1" applyFont="1" applyFill="1" applyAlignment="1">
      <alignment horizontal="right" vertical="center" wrapText="1"/>
    </xf>
    <xf numFmtId="1" fontId="3" fillId="2" borderId="0" xfId="0" applyNumberFormat="1" applyFont="1" applyFill="1" applyAlignment="1">
      <alignment horizontal="right" vertical="center" wrapText="1"/>
    </xf>
    <xf numFmtId="0" fontId="3" fillId="2" borderId="0" xfId="0" applyFont="1" applyFill="1" applyAlignment="1">
      <alignment horizontal="right" vertical="center" wrapText="1"/>
    </xf>
    <xf numFmtId="0" fontId="3" fillId="2" borderId="0" xfId="0" applyFont="1" applyFill="1" applyAlignment="1">
      <alignment vertical="center" wrapText="1"/>
    </xf>
    <xf numFmtId="167" fontId="4" fillId="2" borderId="0" xfId="0" applyNumberFormat="1" applyFont="1" applyFill="1" applyAlignment="1">
      <alignment horizontal="right" vertical="center" wrapText="1"/>
    </xf>
    <xf numFmtId="1" fontId="4" fillId="2" borderId="0" xfId="0" applyNumberFormat="1" applyFont="1" applyFill="1" applyAlignment="1">
      <alignment horizontal="right" vertical="center" wrapText="1"/>
    </xf>
    <xf numFmtId="0" fontId="4" fillId="2" borderId="0" xfId="0" applyFont="1" applyFill="1" applyAlignment="1">
      <alignment horizontal="right" vertical="center" wrapText="1"/>
    </xf>
    <xf numFmtId="0" fontId="4" fillId="2" borderId="0" xfId="0" applyFont="1" applyFill="1" applyAlignment="1">
      <alignment horizontal="left" vertical="center" wrapText="1" indent="1"/>
    </xf>
    <xf numFmtId="167"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vertical="center" wrapText="1"/>
    </xf>
    <xf numFmtId="0" fontId="5" fillId="0" borderId="2" xfId="0" applyFont="1" applyBorder="1" applyAlignment="1">
      <alignment horizontal="center" vertical="center" wrapText="1"/>
    </xf>
    <xf numFmtId="168" fontId="5" fillId="0" borderId="0" xfId="2" applyNumberFormat="1" applyFont="1" applyAlignment="1">
      <alignment horizontal="center" vertical="center" wrapText="1"/>
    </xf>
    <xf numFmtId="0" fontId="2" fillId="4" borderId="0" xfId="0" applyFont="1" applyFill="1" applyAlignment="1">
      <alignment horizontal="center"/>
    </xf>
    <xf numFmtId="0" fontId="5" fillId="4" borderId="0" xfId="0" applyFont="1" applyFill="1" applyAlignment="1">
      <alignment horizontal="left"/>
    </xf>
    <xf numFmtId="0" fontId="5" fillId="4" borderId="0" xfId="0" applyFont="1" applyFill="1" applyAlignment="1">
      <alignment horizontal="center"/>
    </xf>
    <xf numFmtId="0" fontId="5" fillId="0" borderId="0" xfId="0" applyFont="1"/>
    <xf numFmtId="0" fontId="5" fillId="7" borderId="0" xfId="0" applyFont="1" applyFill="1"/>
    <xf numFmtId="0" fontId="2" fillId="8" borderId="0" xfId="0" applyFont="1" applyFill="1"/>
    <xf numFmtId="0" fontId="7" fillId="8" borderId="0" xfId="0" applyFont="1" applyFill="1"/>
    <xf numFmtId="0" fontId="8" fillId="8" borderId="0" xfId="0" applyFont="1" applyFill="1"/>
    <xf numFmtId="0" fontId="8" fillId="4" borderId="0" xfId="0" applyFont="1" applyFill="1" applyAlignment="1">
      <alignment horizontal="center"/>
    </xf>
    <xf numFmtId="0" fontId="8" fillId="0" borderId="0" xfId="0" applyFont="1"/>
    <xf numFmtId="0" fontId="9" fillId="0" borderId="2" xfId="0" applyFont="1" applyBorder="1" applyAlignment="1">
      <alignment horizontal="center" vertical="center" wrapText="1"/>
    </xf>
    <xf numFmtId="9" fontId="10" fillId="2" borderId="0" xfId="1" applyFont="1" applyFill="1" applyBorder="1" applyAlignment="1">
      <alignment horizontal="right" vertical="center" wrapText="1"/>
    </xf>
    <xf numFmtId="9" fontId="11" fillId="2" borderId="0" xfId="1" applyFont="1" applyFill="1" applyBorder="1" applyAlignment="1">
      <alignment horizontal="right" vertical="center" wrapText="1"/>
    </xf>
    <xf numFmtId="9" fontId="10" fillId="3" borderId="0" xfId="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right"/>
    </xf>
    <xf numFmtId="9" fontId="2" fillId="0" borderId="0" xfId="1" applyFont="1" applyAlignment="1">
      <alignment horizontal="right"/>
    </xf>
    <xf numFmtId="168" fontId="2" fillId="0" borderId="0" xfId="2" applyNumberFormat="1" applyFont="1" applyAlignment="1">
      <alignment horizontal="right"/>
    </xf>
    <xf numFmtId="0" fontId="2" fillId="0" borderId="0" xfId="0" applyFont="1" applyAlignment="1">
      <alignment wrapText="1"/>
    </xf>
    <xf numFmtId="165" fontId="4" fillId="2" borderId="0" xfId="2" applyNumberFormat="1" applyFont="1" applyFill="1" applyBorder="1" applyAlignment="1">
      <alignment horizontal="righ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9" fontId="13" fillId="0" borderId="0" xfId="1" applyFont="1" applyAlignment="1">
      <alignment horizontal="right"/>
    </xf>
    <xf numFmtId="168" fontId="4" fillId="2" borderId="0" xfId="2" applyNumberFormat="1" applyFont="1" applyFill="1" applyBorder="1" applyAlignment="1">
      <alignment horizontal="right" vertical="center" wrapText="1"/>
    </xf>
    <xf numFmtId="9" fontId="3" fillId="2" borderId="0" xfId="0" applyNumberFormat="1" applyFont="1" applyFill="1" applyAlignment="1">
      <alignment horizontal="right" vertical="center" wrapText="1"/>
    </xf>
    <xf numFmtId="168" fontId="13" fillId="0" borderId="0" xfId="2" applyNumberFormat="1" applyFont="1" applyAlignment="1">
      <alignment horizontal="right"/>
    </xf>
    <xf numFmtId="9" fontId="14" fillId="0" borderId="0" xfId="1" applyFont="1" applyAlignment="1">
      <alignment horizontal="right"/>
    </xf>
    <xf numFmtId="165" fontId="3" fillId="2" borderId="0" xfId="2" applyNumberFormat="1" applyFont="1" applyFill="1" applyBorder="1" applyAlignment="1">
      <alignment horizontal="right" vertical="center" wrapText="1"/>
    </xf>
    <xf numFmtId="9" fontId="3" fillId="2" borderId="1" xfId="0" applyNumberFormat="1" applyFont="1" applyFill="1" applyBorder="1" applyAlignment="1">
      <alignment horizontal="right" vertical="center" wrapText="1"/>
    </xf>
    <xf numFmtId="165" fontId="3" fillId="2" borderId="1" xfId="2" applyNumberFormat="1" applyFont="1" applyFill="1" applyBorder="1" applyAlignment="1">
      <alignment horizontal="right" vertical="center" wrapText="1"/>
    </xf>
    <xf numFmtId="0" fontId="5" fillId="0" borderId="0" xfId="0" applyFont="1" applyAlignment="1">
      <alignment horizontal="center" vertical="center" wrapText="1"/>
    </xf>
    <xf numFmtId="0" fontId="2" fillId="4" borderId="0" xfId="0" applyFont="1" applyFill="1" applyAlignment="1">
      <alignment horizontal="right"/>
    </xf>
    <xf numFmtId="20" fontId="2" fillId="4" borderId="0" xfId="1" applyNumberFormat="1" applyFont="1" applyFill="1" applyAlignment="1">
      <alignment horizontal="right"/>
    </xf>
    <xf numFmtId="168" fontId="2" fillId="4" borderId="0" xfId="2" applyNumberFormat="1" applyFont="1" applyFill="1" applyAlignment="1">
      <alignment horizontal="right"/>
    </xf>
    <xf numFmtId="0" fontId="5" fillId="4" borderId="0" xfId="0" applyFont="1" applyFill="1" applyAlignment="1">
      <alignment horizontal="left" wrapText="1"/>
    </xf>
    <xf numFmtId="9" fontId="2" fillId="4" borderId="0" xfId="1" applyFont="1" applyFill="1" applyAlignment="1">
      <alignment horizontal="right"/>
    </xf>
    <xf numFmtId="0" fontId="2" fillId="8" borderId="0" xfId="0" applyFont="1" applyFill="1" applyAlignment="1">
      <alignment horizontal="right"/>
    </xf>
    <xf numFmtId="9" fontId="2" fillId="8" borderId="0" xfId="1" applyFont="1" applyFill="1" applyAlignment="1">
      <alignment horizontal="right"/>
    </xf>
    <xf numFmtId="168" fontId="2" fillId="8" borderId="0" xfId="2" applyNumberFormat="1" applyFont="1" applyFill="1" applyAlignment="1">
      <alignment horizontal="right"/>
    </xf>
    <xf numFmtId="0" fontId="2" fillId="8" borderId="0" xfId="0" applyFont="1" applyFill="1" applyAlignment="1">
      <alignment wrapText="1"/>
    </xf>
    <xf numFmtId="9" fontId="3" fillId="3" borderId="0" xfId="0" applyNumberFormat="1" applyFont="1" applyFill="1" applyAlignment="1">
      <alignment horizontal="right" vertical="center" wrapText="1"/>
    </xf>
    <xf numFmtId="167" fontId="12" fillId="2" borderId="0" xfId="0" applyNumberFormat="1" applyFont="1" applyFill="1" applyAlignment="1">
      <alignment horizontal="right" vertical="center" wrapText="1"/>
    </xf>
    <xf numFmtId="0" fontId="4" fillId="2" borderId="0" xfId="0" applyFont="1" applyFill="1" applyAlignment="1">
      <alignment horizontal="left" vertical="center" wrapText="1" indent="2"/>
    </xf>
    <xf numFmtId="0" fontId="4"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2" fillId="0" borderId="2" xfId="0" applyFont="1" applyBorder="1"/>
    <xf numFmtId="0" fontId="16" fillId="0" borderId="0" xfId="0" applyFont="1"/>
    <xf numFmtId="3" fontId="11" fillId="0" borderId="0" xfId="0" applyNumberFormat="1" applyFont="1" applyAlignment="1">
      <alignment horizontal="right" vertical="center"/>
    </xf>
    <xf numFmtId="9" fontId="13" fillId="5" borderId="0" xfId="0" applyNumberFormat="1" applyFont="1" applyFill="1"/>
    <xf numFmtId="169" fontId="4" fillId="9" borderId="0" xfId="2" applyNumberFormat="1" applyFont="1" applyFill="1" applyBorder="1" applyAlignment="1">
      <alignment horizontal="right" vertical="center" wrapText="1"/>
    </xf>
    <xf numFmtId="3" fontId="14" fillId="3" borderId="0" xfId="2" applyNumberFormat="1" applyFont="1" applyFill="1" applyBorder="1" applyAlignment="1">
      <alignment horizontal="right" vertical="center" wrapText="1"/>
    </xf>
    <xf numFmtId="169" fontId="14" fillId="3" borderId="0" xfId="2" applyNumberFormat="1" applyFont="1" applyFill="1" applyBorder="1" applyAlignment="1">
      <alignment horizontal="right" vertical="center" wrapText="1"/>
    </xf>
    <xf numFmtId="0" fontId="3" fillId="3" borderId="0" xfId="0" applyFont="1" applyFill="1" applyAlignment="1">
      <alignment horizontal="left" vertical="center"/>
    </xf>
    <xf numFmtId="169" fontId="4" fillId="2" borderId="0" xfId="2" applyNumberFormat="1" applyFont="1" applyFill="1" applyBorder="1" applyAlignment="1">
      <alignment horizontal="right" vertical="center" wrapText="1"/>
    </xf>
    <xf numFmtId="0" fontId="16" fillId="0" borderId="0" xfId="0" applyFont="1" applyAlignment="1">
      <alignment vertical="center"/>
    </xf>
    <xf numFmtId="3" fontId="11" fillId="6" borderId="0" xfId="0" applyNumberFormat="1" applyFont="1" applyFill="1" applyAlignment="1">
      <alignment horizontal="right" vertical="center"/>
    </xf>
    <xf numFmtId="9" fontId="13" fillId="5" borderId="0" xfId="0" applyNumberFormat="1" applyFont="1" applyFill="1" applyAlignment="1">
      <alignment vertical="center"/>
    </xf>
    <xf numFmtId="3" fontId="4" fillId="6" borderId="0" xfId="2" applyNumberFormat="1" applyFont="1" applyFill="1" applyBorder="1" applyAlignment="1">
      <alignment horizontal="right" vertical="center" wrapText="1"/>
    </xf>
    <xf numFmtId="3" fontId="4" fillId="2" borderId="0" xfId="2" applyNumberFormat="1" applyFont="1" applyFill="1" applyBorder="1" applyAlignment="1">
      <alignment horizontal="right" vertical="center" wrapText="1"/>
    </xf>
    <xf numFmtId="0" fontId="4" fillId="2" borderId="0" xfId="0" applyFont="1" applyFill="1" applyAlignment="1">
      <alignment horizontal="left" vertical="center" indent="2"/>
    </xf>
    <xf numFmtId="0" fontId="13" fillId="0" borderId="0" xfId="0" applyFont="1" applyAlignment="1">
      <alignment horizontal="left" vertical="center" wrapText="1" indent="1"/>
    </xf>
    <xf numFmtId="3" fontId="12" fillId="2" borderId="0" xfId="2" applyNumberFormat="1" applyFont="1" applyFill="1" applyBorder="1" applyAlignment="1">
      <alignment horizontal="right" vertical="center"/>
    </xf>
    <xf numFmtId="3" fontId="3" fillId="3" borderId="0" xfId="2" applyNumberFormat="1" applyFont="1" applyFill="1" applyBorder="1" applyAlignment="1">
      <alignment horizontal="right" vertical="center"/>
    </xf>
    <xf numFmtId="169" fontId="3" fillId="3" borderId="0" xfId="2" applyNumberFormat="1" applyFont="1" applyFill="1" applyBorder="1" applyAlignment="1">
      <alignment horizontal="right" vertical="center"/>
    </xf>
    <xf numFmtId="3" fontId="12" fillId="2" borderId="0" xfId="2" applyNumberFormat="1" applyFont="1" applyFill="1" applyBorder="1" applyAlignment="1">
      <alignment horizontal="right" vertical="center" wrapText="1"/>
    </xf>
    <xf numFmtId="3" fontId="14" fillId="0" borderId="0" xfId="0" applyNumberFormat="1" applyFont="1"/>
    <xf numFmtId="0" fontId="13" fillId="0" borderId="0" xfId="0" applyFont="1"/>
    <xf numFmtId="3" fontId="13" fillId="0" borderId="0" xfId="0" applyNumberFormat="1" applyFont="1"/>
    <xf numFmtId="0" fontId="4" fillId="0" borderId="0" xfId="0" applyFont="1" applyAlignment="1">
      <alignment horizontal="left" vertical="center" wrapText="1" indent="2"/>
    </xf>
    <xf numFmtId="3" fontId="17" fillId="2" borderId="0" xfId="2" applyNumberFormat="1" applyFont="1" applyFill="1" applyBorder="1" applyAlignment="1">
      <alignment horizontal="right" vertical="center"/>
    </xf>
    <xf numFmtId="20" fontId="4" fillId="2" borderId="0" xfId="0" applyNumberFormat="1" applyFont="1" applyFill="1" applyAlignment="1">
      <alignment horizontal="left" vertical="center" wrapText="1" indent="2"/>
    </xf>
    <xf numFmtId="3" fontId="18" fillId="0" borderId="0" xfId="0" applyNumberFormat="1" applyFont="1"/>
    <xf numFmtId="168" fontId="2" fillId="0" borderId="0" xfId="2" applyNumberFormat="1" applyFont="1"/>
    <xf numFmtId="9" fontId="11" fillId="0" borderId="0" xfId="0" applyNumberFormat="1" applyFont="1" applyAlignment="1">
      <alignment horizontal="left" vertical="center"/>
    </xf>
    <xf numFmtId="3" fontId="11" fillId="0" borderId="0" xfId="0" applyNumberFormat="1" applyFont="1" applyAlignment="1">
      <alignment horizontal="left" vertical="center"/>
    </xf>
    <xf numFmtId="3" fontId="10" fillId="0" borderId="0" xfId="0" applyNumberFormat="1" applyFont="1" applyAlignment="1">
      <alignment horizontal="right" vertical="center"/>
    </xf>
    <xf numFmtId="0" fontId="10" fillId="0" borderId="0" xfId="0" applyFont="1" applyAlignment="1">
      <alignment horizontal="left" vertical="center"/>
    </xf>
    <xf numFmtId="168" fontId="2" fillId="0" borderId="0" xfId="0" applyNumberFormat="1" applyFont="1"/>
    <xf numFmtId="3" fontId="10" fillId="0" borderId="0" xfId="0" applyNumberFormat="1" applyFont="1" applyAlignment="1">
      <alignment horizontal="left" vertical="center"/>
    </xf>
    <xf numFmtId="9" fontId="10" fillId="0" borderId="0" xfId="0" applyNumberFormat="1" applyFont="1" applyAlignment="1">
      <alignment horizontal="left" vertical="center"/>
    </xf>
    <xf numFmtId="0" fontId="19" fillId="0" borderId="2" xfId="0" applyFont="1" applyBorder="1" applyAlignment="1">
      <alignment horizontal="left" vertical="center"/>
    </xf>
    <xf numFmtId="0" fontId="19" fillId="0" borderId="2" xfId="0" applyFont="1" applyBorder="1" applyAlignment="1">
      <alignment horizontal="right" vertical="center"/>
    </xf>
    <xf numFmtId="9" fontId="12" fillId="2" borderId="2" xfId="0" applyNumberFormat="1" applyFont="1" applyFill="1" applyBorder="1" applyAlignment="1">
      <alignment horizontal="right" vertical="center" wrapText="1"/>
    </xf>
    <xf numFmtId="168" fontId="12" fillId="2" borderId="2" xfId="2" applyNumberFormat="1" applyFont="1" applyFill="1" applyBorder="1" applyAlignment="1">
      <alignment horizontal="right" vertical="center" wrapText="1"/>
    </xf>
    <xf numFmtId="0" fontId="12" fillId="2" borderId="2" xfId="0" applyFont="1" applyFill="1" applyBorder="1" applyAlignment="1">
      <alignment horizontal="right" vertical="center" wrapText="1"/>
    </xf>
    <xf numFmtId="9" fontId="12" fillId="2" borderId="0" xfId="0" applyNumberFormat="1" applyFont="1" applyFill="1" applyAlignment="1">
      <alignment horizontal="right" vertical="center" wrapText="1"/>
    </xf>
    <xf numFmtId="168" fontId="12" fillId="2" borderId="0" xfId="2" applyNumberFormat="1" applyFont="1" applyFill="1" applyBorder="1" applyAlignment="1">
      <alignment horizontal="right" vertical="center" wrapText="1"/>
    </xf>
    <xf numFmtId="0" fontId="12" fillId="2" borderId="0" xfId="0" applyFont="1" applyFill="1" applyAlignment="1">
      <alignment horizontal="right" vertical="center" wrapText="1"/>
    </xf>
    <xf numFmtId="9" fontId="3" fillId="10" borderId="0" xfId="0" applyNumberFormat="1" applyFont="1" applyFill="1" applyAlignment="1">
      <alignment horizontal="right" vertical="center" wrapText="1"/>
    </xf>
    <xf numFmtId="168" fontId="3" fillId="10" borderId="0" xfId="2" applyNumberFormat="1" applyFont="1" applyFill="1" applyBorder="1" applyAlignment="1">
      <alignment horizontal="right" vertical="center" wrapText="1"/>
    </xf>
    <xf numFmtId="0" fontId="3" fillId="10" borderId="0" xfId="0" applyFont="1" applyFill="1" applyAlignment="1">
      <alignment horizontal="right" vertical="center" wrapText="1"/>
    </xf>
    <xf numFmtId="0" fontId="3" fillId="10" borderId="0" xfId="0" applyFont="1" applyFill="1" applyAlignment="1">
      <alignment vertical="center" wrapText="1"/>
    </xf>
    <xf numFmtId="168" fontId="3" fillId="2" borderId="0" xfId="2" applyNumberFormat="1" applyFont="1" applyFill="1" applyBorder="1" applyAlignment="1">
      <alignment horizontal="right" vertical="center" wrapText="1"/>
    </xf>
    <xf numFmtId="9" fontId="13" fillId="0" borderId="0" xfId="1" applyFont="1"/>
    <xf numFmtId="9" fontId="14" fillId="0" borderId="1" xfId="1" applyFont="1" applyBorder="1"/>
    <xf numFmtId="168" fontId="3" fillId="2" borderId="1" xfId="2" applyNumberFormat="1" applyFont="1" applyFill="1" applyBorder="1" applyAlignment="1">
      <alignment horizontal="right" vertical="center" wrapText="1"/>
    </xf>
    <xf numFmtId="0" fontId="5" fillId="0" borderId="0" xfId="0" applyFont="1" applyAlignment="1">
      <alignment wrapText="1"/>
    </xf>
    <xf numFmtId="169" fontId="13" fillId="0" borderId="0" xfId="0" applyNumberFormat="1" applyFont="1" applyAlignment="1">
      <alignment horizontal="right"/>
    </xf>
    <xf numFmtId="9" fontId="13" fillId="5" borderId="0" xfId="0" applyNumberFormat="1" applyFont="1" applyFill="1" applyAlignment="1">
      <alignment horizontal="right"/>
    </xf>
    <xf numFmtId="169" fontId="13" fillId="0" borderId="0" xfId="2" applyNumberFormat="1" applyFont="1" applyBorder="1" applyAlignment="1">
      <alignment horizontal="right" vertical="center" wrapText="1"/>
    </xf>
    <xf numFmtId="9" fontId="13" fillId="0" borderId="0" xfId="0" applyNumberFormat="1" applyFont="1" applyAlignment="1">
      <alignment horizontal="right"/>
    </xf>
    <xf numFmtId="9" fontId="13" fillId="0" borderId="0" xfId="0" applyNumberFormat="1" applyFont="1"/>
    <xf numFmtId="169" fontId="13" fillId="0" borderId="0" xfId="2" applyNumberFormat="1" applyFont="1" applyFill="1" applyBorder="1" applyAlignment="1">
      <alignment horizontal="right" vertical="center" wrapText="1"/>
    </xf>
    <xf numFmtId="0" fontId="4" fillId="0" borderId="0" xfId="0" applyFont="1" applyAlignment="1">
      <alignment vertical="center" wrapText="1"/>
    </xf>
    <xf numFmtId="169" fontId="13" fillId="0" borderId="0" xfId="0" applyNumberFormat="1" applyFont="1" applyAlignment="1">
      <alignment horizontal="right" vertical="center"/>
    </xf>
    <xf numFmtId="169" fontId="18" fillId="0" borderId="0" xfId="2" applyNumberFormat="1" applyFont="1" applyAlignment="1">
      <alignment horizontal="right"/>
    </xf>
    <xf numFmtId="0" fontId="12" fillId="2" borderId="0" xfId="0" applyFont="1" applyFill="1" applyAlignment="1">
      <alignment vertical="center" wrapText="1"/>
    </xf>
    <xf numFmtId="169" fontId="14" fillId="0" borderId="0" xfId="2" applyNumberFormat="1" applyFont="1" applyAlignment="1">
      <alignment horizontal="right"/>
    </xf>
    <xf numFmtId="0" fontId="14" fillId="0" borderId="0" xfId="0" applyFont="1" applyAlignment="1">
      <alignment horizontal="right"/>
    </xf>
    <xf numFmtId="0" fontId="14" fillId="0" borderId="0" xfId="0" applyFont="1"/>
    <xf numFmtId="0" fontId="3" fillId="2" borderId="0" xfId="0" applyFont="1" applyFill="1" applyAlignment="1">
      <alignment horizontal="left" vertical="center" wrapText="1" indent="2"/>
    </xf>
    <xf numFmtId="0" fontId="12" fillId="7" borderId="0" xfId="0" applyFont="1" applyFill="1" applyAlignment="1">
      <alignment vertical="center" wrapText="1"/>
    </xf>
    <xf numFmtId="169" fontId="14" fillId="0" borderId="0" xfId="0" applyNumberFormat="1" applyFont="1" applyAlignment="1">
      <alignment horizontal="right"/>
    </xf>
    <xf numFmtId="169" fontId="14" fillId="0" borderId="0" xfId="0" applyNumberFormat="1" applyFont="1"/>
    <xf numFmtId="169" fontId="14" fillId="10" borderId="0" xfId="0" applyNumberFormat="1" applyFont="1" applyFill="1" applyAlignment="1">
      <alignment horizontal="right"/>
    </xf>
    <xf numFmtId="169" fontId="4" fillId="2" borderId="0" xfId="2" applyNumberFormat="1" applyFont="1" applyFill="1" applyBorder="1" applyAlignment="1">
      <alignment horizontal="right" vertical="center"/>
    </xf>
    <xf numFmtId="0" fontId="4" fillId="2" borderId="0" xfId="0" applyFont="1" applyFill="1" applyAlignment="1">
      <alignment vertical="center"/>
    </xf>
    <xf numFmtId="0" fontId="4" fillId="2" borderId="0" xfId="0" applyFont="1" applyFill="1" applyAlignment="1">
      <alignment horizontal="left" vertical="center"/>
    </xf>
    <xf numFmtId="169" fontId="3" fillId="2" borderId="0" xfId="2" applyNumberFormat="1" applyFont="1" applyFill="1" applyBorder="1" applyAlignment="1">
      <alignment horizontal="right" vertical="center"/>
    </xf>
    <xf numFmtId="0" fontId="13" fillId="0" borderId="0" xfId="0" applyFont="1" applyAlignment="1">
      <alignment horizontal="right"/>
    </xf>
    <xf numFmtId="0" fontId="3" fillId="2" borderId="0" xfId="0" applyFont="1" applyFill="1" applyAlignment="1">
      <alignment vertical="center"/>
    </xf>
    <xf numFmtId="0" fontId="2" fillId="10" borderId="0" xfId="0" applyFont="1" applyFill="1"/>
    <xf numFmtId="169" fontId="3" fillId="10" borderId="0" xfId="2" applyNumberFormat="1" applyFont="1" applyFill="1" applyBorder="1" applyAlignment="1">
      <alignment horizontal="right" vertical="center"/>
    </xf>
    <xf numFmtId="0" fontId="3" fillId="10" borderId="0" xfId="0" applyFont="1" applyFill="1" applyAlignment="1">
      <alignment horizontal="left" vertical="center"/>
    </xf>
    <xf numFmtId="169" fontId="14" fillId="0" borderId="0" xfId="0" applyNumberFormat="1" applyFont="1" applyAlignment="1">
      <alignment horizontal="right" wrapText="1"/>
    </xf>
    <xf numFmtId="9" fontId="13" fillId="5" borderId="0" xfId="0" applyNumberFormat="1" applyFont="1" applyFill="1" applyAlignment="1">
      <alignment horizontal="right" wrapText="1"/>
    </xf>
    <xf numFmtId="9" fontId="13" fillId="5" borderId="0" xfId="0" applyNumberFormat="1" applyFont="1" applyFill="1" applyAlignment="1">
      <alignment wrapText="1"/>
    </xf>
    <xf numFmtId="169" fontId="3" fillId="2" borderId="0" xfId="2" applyNumberFormat="1" applyFont="1" applyFill="1" applyBorder="1" applyAlignment="1">
      <alignment horizontal="right" vertical="center" wrapText="1"/>
    </xf>
    <xf numFmtId="169" fontId="13" fillId="0" borderId="0" xfId="0" applyNumberFormat="1" applyFont="1" applyAlignment="1">
      <alignment horizontal="right" wrapText="1"/>
    </xf>
    <xf numFmtId="169" fontId="13" fillId="2" borderId="0" xfId="2" applyNumberFormat="1" applyFont="1" applyFill="1" applyBorder="1" applyAlignment="1">
      <alignment horizontal="right" vertical="center" wrapText="1"/>
    </xf>
    <xf numFmtId="0" fontId="4" fillId="2" borderId="0" xfId="0" applyFont="1" applyFill="1" applyAlignment="1">
      <alignment horizontal="left" vertical="center" wrapText="1" indent="4"/>
    </xf>
    <xf numFmtId="169" fontId="18" fillId="2" borderId="0" xfId="2" applyNumberFormat="1" applyFont="1" applyFill="1" applyBorder="1" applyAlignment="1">
      <alignment horizontal="right" vertical="center" wrapText="1"/>
    </xf>
    <xf numFmtId="0" fontId="4" fillId="2" borderId="0" xfId="0" applyFont="1" applyFill="1" applyAlignment="1">
      <alignment horizontal="left" vertical="center" wrapText="1" indent="3"/>
    </xf>
    <xf numFmtId="169" fontId="14" fillId="2" borderId="0" xfId="2" applyNumberFormat="1" applyFont="1" applyFill="1" applyBorder="1" applyAlignment="1">
      <alignment horizontal="right" vertical="center" wrapText="1"/>
    </xf>
    <xf numFmtId="169" fontId="12" fillId="2" borderId="0" xfId="2" applyNumberFormat="1" applyFont="1" applyFill="1" applyBorder="1" applyAlignment="1">
      <alignment horizontal="right" vertical="center"/>
    </xf>
    <xf numFmtId="169" fontId="13" fillId="2" borderId="0" xfId="2" applyNumberFormat="1" applyFont="1" applyFill="1" applyBorder="1" applyAlignment="1">
      <alignment horizontal="right" vertical="center"/>
    </xf>
    <xf numFmtId="0" fontId="3" fillId="2" borderId="0" xfId="0" applyFont="1" applyFill="1" applyAlignment="1">
      <alignment horizontal="left" vertical="center" indent="1"/>
    </xf>
    <xf numFmtId="0" fontId="3" fillId="2" borderId="0" xfId="0" applyFont="1" applyFill="1" applyAlignment="1">
      <alignment horizontal="left" vertical="center"/>
    </xf>
    <xf numFmtId="169" fontId="18" fillId="0" borderId="0" xfId="0" applyNumberFormat="1" applyFont="1" applyAlignment="1">
      <alignment horizontal="right"/>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right" vertical="center" wrapText="1"/>
    </xf>
    <xf numFmtId="0" fontId="14" fillId="0" borderId="2"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4" fillId="5" borderId="0" xfId="0" applyFont="1" applyFill="1"/>
    <xf numFmtId="0" fontId="14" fillId="5" borderId="0" xfId="0" applyFont="1" applyFill="1" applyAlignment="1">
      <alignment horizontal="right"/>
    </xf>
    <xf numFmtId="0" fontId="13" fillId="5" borderId="0" xfId="0" applyFont="1" applyFill="1"/>
    <xf numFmtId="0" fontId="13" fillId="5" borderId="0" xfId="0" applyFont="1" applyFill="1" applyAlignment="1">
      <alignment horizontal="right"/>
    </xf>
    <xf numFmtId="169" fontId="3" fillId="5" borderId="0" xfId="2" applyNumberFormat="1" applyFont="1" applyFill="1" applyBorder="1" applyAlignment="1">
      <alignment horizontal="right" vertical="center"/>
    </xf>
    <xf numFmtId="0" fontId="13" fillId="5" borderId="0" xfId="0" applyFont="1" applyFill="1" applyAlignment="1">
      <alignment wrapText="1"/>
    </xf>
    <xf numFmtId="0" fontId="13" fillId="5" borderId="0" xfId="0" applyFont="1" applyFill="1" applyAlignment="1">
      <alignment horizontal="right" wrapText="1"/>
    </xf>
    <xf numFmtId="9" fontId="13" fillId="11" borderId="0" xfId="0" applyNumberFormat="1" applyFont="1" applyFill="1"/>
    <xf numFmtId="9" fontId="13" fillId="11" borderId="0" xfId="0" applyNumberFormat="1" applyFont="1" applyFill="1" applyAlignment="1">
      <alignment horizontal="right"/>
    </xf>
    <xf numFmtId="169" fontId="14" fillId="11" borderId="0" xfId="0" applyNumberFormat="1" applyFont="1" applyFill="1" applyAlignment="1">
      <alignment horizontal="right"/>
    </xf>
    <xf numFmtId="0" fontId="13" fillId="11" borderId="0" xfId="0" applyFont="1" applyFill="1"/>
    <xf numFmtId="0" fontId="13" fillId="11" borderId="0" xfId="0" applyFont="1" applyFill="1" applyAlignment="1">
      <alignment horizontal="right"/>
    </xf>
    <xf numFmtId="169" fontId="3" fillId="11" borderId="0" xfId="2" applyNumberFormat="1" applyFont="1" applyFill="1" applyBorder="1" applyAlignment="1">
      <alignment horizontal="right" vertical="center"/>
    </xf>
    <xf numFmtId="9" fontId="13" fillId="5" borderId="0" xfId="0" applyNumberFormat="1" applyFont="1" applyFill="1" applyAlignment="1">
      <alignment horizontal="right" vertical="center"/>
    </xf>
    <xf numFmtId="9" fontId="14" fillId="10" borderId="0" xfId="1" applyFont="1" applyFill="1" applyAlignment="1">
      <alignment horizontal="right"/>
    </xf>
    <xf numFmtId="165" fontId="14" fillId="10" borderId="3" xfId="0" applyNumberFormat="1" applyFont="1" applyFill="1" applyBorder="1" applyAlignment="1">
      <alignment horizontal="right"/>
    </xf>
    <xf numFmtId="166" fontId="14" fillId="10" borderId="0" xfId="1" applyNumberFormat="1" applyFont="1" applyFill="1" applyAlignment="1">
      <alignment horizontal="right"/>
    </xf>
    <xf numFmtId="165" fontId="14" fillId="10" borderId="0" xfId="2" applyNumberFormat="1" applyFont="1" applyFill="1" applyAlignment="1">
      <alignment horizontal="right"/>
    </xf>
    <xf numFmtId="0" fontId="3" fillId="3" borderId="0" xfId="0" applyFont="1" applyFill="1" applyAlignment="1">
      <alignment vertical="center"/>
    </xf>
    <xf numFmtId="165" fontId="14" fillId="0" borderId="0" xfId="0" applyNumberFormat="1" applyFont="1" applyAlignment="1">
      <alignment horizontal="right"/>
    </xf>
    <xf numFmtId="165" fontId="14" fillId="0" borderId="3" xfId="0" applyNumberFormat="1" applyFont="1" applyBorder="1" applyAlignment="1">
      <alignment horizontal="right"/>
    </xf>
    <xf numFmtId="166" fontId="4" fillId="2" borderId="0" xfId="0" applyNumberFormat="1" applyFont="1" applyFill="1" applyAlignment="1">
      <alignment horizontal="right" vertical="center" wrapText="1"/>
    </xf>
    <xf numFmtId="165" fontId="3" fillId="2" borderId="0" xfId="2" applyNumberFormat="1" applyFont="1" applyFill="1" applyAlignment="1">
      <alignment horizontal="right" vertical="center" wrapText="1"/>
    </xf>
    <xf numFmtId="166" fontId="14" fillId="0" borderId="0" xfId="1" applyNumberFormat="1" applyFont="1" applyAlignment="1">
      <alignment horizontal="right"/>
    </xf>
    <xf numFmtId="166" fontId="3" fillId="2" borderId="0" xfId="0" applyNumberFormat="1" applyFont="1" applyFill="1" applyAlignment="1">
      <alignment horizontal="right" vertical="center" wrapText="1"/>
    </xf>
    <xf numFmtId="9" fontId="18" fillId="0" borderId="0" xfId="1" applyFont="1" applyAlignment="1">
      <alignment horizontal="right"/>
    </xf>
    <xf numFmtId="165" fontId="18" fillId="0" borderId="0" xfId="0" applyNumberFormat="1" applyFont="1" applyAlignment="1">
      <alignment horizontal="right"/>
    </xf>
    <xf numFmtId="165" fontId="18" fillId="0" borderId="3" xfId="0" applyNumberFormat="1" applyFont="1" applyBorder="1" applyAlignment="1">
      <alignment horizontal="right"/>
    </xf>
    <xf numFmtId="166" fontId="18" fillId="0" borderId="0" xfId="1" applyNumberFormat="1" applyFont="1" applyAlignment="1">
      <alignment horizontal="right"/>
    </xf>
    <xf numFmtId="165" fontId="12" fillId="2" borderId="0" xfId="2" applyNumberFormat="1" applyFont="1" applyFill="1" applyAlignment="1">
      <alignment horizontal="right" vertical="center" wrapText="1"/>
    </xf>
    <xf numFmtId="166" fontId="13" fillId="0" borderId="0" xfId="1" applyNumberFormat="1" applyFont="1" applyAlignment="1">
      <alignment horizontal="right"/>
    </xf>
    <xf numFmtId="164" fontId="18" fillId="0" borderId="0" xfId="2" applyFont="1" applyAlignment="1">
      <alignment horizontal="right" vertical="center"/>
    </xf>
    <xf numFmtId="0" fontId="2" fillId="0" borderId="0" xfId="0" applyFont="1" applyAlignment="1">
      <alignment vertical="center"/>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168" fontId="13" fillId="0" borderId="0" xfId="0" applyNumberFormat="1" applyFont="1"/>
    <xf numFmtId="3" fontId="14" fillId="10" borderId="0" xfId="0" applyNumberFormat="1" applyFont="1" applyFill="1" applyAlignment="1">
      <alignment horizontal="right"/>
    </xf>
    <xf numFmtId="169" fontId="14" fillId="10" borderId="0" xfId="2" applyNumberFormat="1" applyFont="1" applyFill="1" applyBorder="1" applyAlignment="1">
      <alignment horizontal="right" vertical="center" wrapText="1"/>
    </xf>
    <xf numFmtId="168" fontId="4" fillId="2" borderId="0" xfId="2" applyNumberFormat="1" applyFont="1" applyFill="1" applyAlignment="1">
      <alignment vertical="center" wrapText="1"/>
    </xf>
    <xf numFmtId="0" fontId="2" fillId="0" borderId="5" xfId="0" applyFont="1" applyBorder="1" applyAlignment="1">
      <alignment horizontal="center" vertical="center"/>
    </xf>
    <xf numFmtId="3" fontId="4" fillId="0" borderId="0" xfId="2" applyNumberFormat="1" applyFont="1" applyFill="1" applyBorder="1" applyAlignment="1">
      <alignment horizontal="right" vertical="center" wrapText="1"/>
    </xf>
    <xf numFmtId="3" fontId="4" fillId="9" borderId="0" xfId="2" applyNumberFormat="1" applyFont="1" applyFill="1" applyBorder="1" applyAlignment="1">
      <alignment horizontal="right" vertical="center" wrapText="1"/>
    </xf>
    <xf numFmtId="3" fontId="13" fillId="0" borderId="0" xfId="2" applyNumberFormat="1" applyFont="1" applyFill="1" applyBorder="1" applyAlignment="1">
      <alignment horizontal="right" vertical="center" wrapText="1"/>
    </xf>
    <xf numFmtId="168" fontId="4" fillId="0" borderId="0" xfId="0" applyNumberFormat="1" applyFont="1" applyAlignment="1">
      <alignment horizontal="left" vertical="center"/>
    </xf>
    <xf numFmtId="0" fontId="4" fillId="0" borderId="0" xfId="0" applyFont="1" applyAlignment="1">
      <alignment horizontal="left" vertical="center"/>
    </xf>
    <xf numFmtId="0" fontId="2" fillId="0" borderId="5" xfId="0" applyFont="1" applyBorder="1" applyAlignment="1">
      <alignment horizontal="center"/>
    </xf>
    <xf numFmtId="0" fontId="2" fillId="0" borderId="5" xfId="0" quotePrefix="1" applyFont="1" applyBorder="1" applyAlignment="1">
      <alignment horizontal="center"/>
    </xf>
    <xf numFmtId="9" fontId="13" fillId="10" borderId="0" xfId="0" applyNumberFormat="1" applyFont="1" applyFill="1" applyAlignment="1">
      <alignment horizontal="right" vertical="center"/>
    </xf>
    <xf numFmtId="168" fontId="3" fillId="3" borderId="0" xfId="0" applyNumberFormat="1" applyFont="1" applyFill="1" applyAlignment="1">
      <alignment horizontal="left" vertical="center"/>
    </xf>
    <xf numFmtId="0" fontId="2" fillId="0" borderId="0" xfId="0" applyFont="1" applyAlignment="1">
      <alignment horizontal="center"/>
    </xf>
    <xf numFmtId="3" fontId="13" fillId="0" borderId="0" xfId="0" applyNumberFormat="1" applyFont="1" applyAlignment="1">
      <alignment horizontal="right"/>
    </xf>
    <xf numFmtId="3" fontId="3" fillId="2" borderId="0" xfId="2" applyNumberFormat="1" applyFont="1" applyFill="1" applyBorder="1" applyAlignment="1">
      <alignment horizontal="right" vertical="center" wrapText="1"/>
    </xf>
    <xf numFmtId="168" fontId="3" fillId="2" borderId="0" xfId="2" applyNumberFormat="1" applyFont="1" applyFill="1" applyAlignment="1">
      <alignment vertical="center" wrapText="1"/>
    </xf>
    <xf numFmtId="168" fontId="5" fillId="0" borderId="0" xfId="0" applyNumberFormat="1" applyFont="1" applyAlignment="1">
      <alignment horizontal="right"/>
    </xf>
    <xf numFmtId="3" fontId="14" fillId="0" borderId="0" xfId="0" applyNumberFormat="1" applyFont="1" applyAlignment="1">
      <alignment horizontal="right"/>
    </xf>
    <xf numFmtId="168" fontId="2" fillId="0" borderId="0" xfId="0" applyNumberFormat="1" applyFont="1" applyAlignment="1">
      <alignment horizontal="right"/>
    </xf>
    <xf numFmtId="169" fontId="4" fillId="10" borderId="0" xfId="2" applyNumberFormat="1" applyFont="1" applyFill="1" applyBorder="1" applyAlignment="1">
      <alignment horizontal="right" vertical="center"/>
    </xf>
    <xf numFmtId="3" fontId="3" fillId="10" borderId="0" xfId="2" applyNumberFormat="1" applyFont="1" applyFill="1" applyBorder="1" applyAlignment="1">
      <alignment horizontal="right" vertical="center"/>
    </xf>
    <xf numFmtId="0" fontId="2" fillId="7" borderId="0" xfId="0" applyFont="1" applyFill="1"/>
    <xf numFmtId="168" fontId="2" fillId="7" borderId="0" xfId="0" applyNumberFormat="1" applyFont="1" applyFill="1" applyAlignment="1">
      <alignment horizontal="right"/>
    </xf>
    <xf numFmtId="3" fontId="13" fillId="7" borderId="0" xfId="0" applyNumberFormat="1" applyFont="1" applyFill="1" applyAlignment="1">
      <alignment horizontal="right"/>
    </xf>
    <xf numFmtId="0" fontId="4" fillId="7" borderId="0" xfId="0" applyFont="1" applyFill="1" applyAlignment="1">
      <alignment vertical="center" wrapText="1"/>
    </xf>
    <xf numFmtId="0" fontId="4" fillId="7" borderId="0" xfId="0" applyFont="1" applyFill="1" applyAlignment="1">
      <alignment vertical="center"/>
    </xf>
    <xf numFmtId="9" fontId="22" fillId="10" borderId="0" xfId="0" applyNumberFormat="1" applyFont="1" applyFill="1" applyAlignment="1">
      <alignment horizontal="right"/>
    </xf>
    <xf numFmtId="168" fontId="3" fillId="10" borderId="0" xfId="2" applyNumberFormat="1" applyFont="1" applyFill="1" applyAlignment="1">
      <alignment vertical="center" wrapText="1"/>
    </xf>
    <xf numFmtId="0" fontId="4" fillId="10" borderId="0" xfId="0" applyFont="1" applyFill="1" applyAlignment="1">
      <alignment vertical="center" wrapText="1"/>
    </xf>
    <xf numFmtId="0" fontId="3" fillId="10" borderId="0" xfId="0" applyFont="1" applyFill="1" applyAlignment="1">
      <alignment vertical="center"/>
    </xf>
    <xf numFmtId="168" fontId="13" fillId="0" borderId="0" xfId="0" applyNumberFormat="1" applyFont="1" applyAlignment="1">
      <alignment horizontal="right"/>
    </xf>
    <xf numFmtId="3" fontId="3" fillId="3" borderId="1" xfId="2" applyNumberFormat="1" applyFont="1" applyFill="1" applyBorder="1" applyAlignment="1">
      <alignment horizontal="right" vertical="center"/>
    </xf>
    <xf numFmtId="0" fontId="23" fillId="0" borderId="0" xfId="0" applyFont="1" applyAlignment="1">
      <alignment horizontal="center"/>
    </xf>
    <xf numFmtId="9" fontId="11" fillId="5" borderId="0" xfId="0" applyNumberFormat="1" applyFont="1" applyFill="1" applyAlignment="1">
      <alignment horizontal="right"/>
    </xf>
    <xf numFmtId="168" fontId="11" fillId="7" borderId="0" xfId="2" applyNumberFormat="1" applyFont="1" applyFill="1" applyAlignment="1">
      <alignment horizontal="right" vertical="center" wrapText="1"/>
    </xf>
    <xf numFmtId="168" fontId="10" fillId="7" borderId="0" xfId="2" applyNumberFormat="1" applyFont="1" applyFill="1" applyBorder="1" applyAlignment="1">
      <alignment horizontal="right" vertical="center" wrapText="1"/>
    </xf>
    <xf numFmtId="9" fontId="11" fillId="7" borderId="0" xfId="0" applyNumberFormat="1" applyFont="1" applyFill="1" applyAlignment="1">
      <alignment horizontal="right"/>
    </xf>
    <xf numFmtId="0" fontId="2" fillId="6" borderId="0" xfId="0" applyFont="1" applyFill="1" applyAlignment="1">
      <alignment horizontal="right"/>
    </xf>
    <xf numFmtId="0" fontId="2" fillId="6" borderId="0" xfId="0" applyFont="1" applyFill="1"/>
    <xf numFmtId="166" fontId="2" fillId="6" borderId="0" xfId="1" applyNumberFormat="1" applyFont="1" applyFill="1" applyAlignment="1">
      <alignment horizontal="right"/>
    </xf>
    <xf numFmtId="170" fontId="5" fillId="6" borderId="0" xfId="0" applyNumberFormat="1" applyFont="1" applyFill="1" applyAlignment="1">
      <alignment horizontal="right"/>
    </xf>
    <xf numFmtId="170" fontId="5" fillId="6" borderId="0" xfId="0" applyNumberFormat="1" applyFont="1" applyFill="1"/>
    <xf numFmtId="165" fontId="2" fillId="6" borderId="0" xfId="0" applyNumberFormat="1" applyFont="1" applyFill="1" applyAlignment="1">
      <alignment horizontal="right"/>
    </xf>
    <xf numFmtId="165" fontId="2" fillId="6" borderId="0" xfId="0" applyNumberFormat="1" applyFont="1" applyFill="1"/>
    <xf numFmtId="165" fontId="12" fillId="2" borderId="0" xfId="2" applyNumberFormat="1" applyFont="1" applyFill="1" applyAlignment="1">
      <alignment horizontal="right" wrapText="1"/>
    </xf>
    <xf numFmtId="0" fontId="22" fillId="2" borderId="0" xfId="0" applyFont="1" applyFill="1" applyAlignment="1">
      <alignment horizontal="left" vertical="center"/>
    </xf>
    <xf numFmtId="168" fontId="3" fillId="3" borderId="0" xfId="2" applyNumberFormat="1" applyFont="1" applyFill="1" applyAlignment="1">
      <alignment horizontal="left" vertical="center"/>
    </xf>
    <xf numFmtId="9" fontId="11" fillId="5" borderId="0" xfId="0" applyNumberFormat="1" applyFont="1" applyFill="1" applyAlignment="1">
      <alignment horizontal="right" vertical="center"/>
    </xf>
    <xf numFmtId="168" fontId="3" fillId="10" borderId="0" xfId="0" applyNumberFormat="1" applyFont="1" applyFill="1" applyAlignment="1">
      <alignment horizontal="left" vertical="center"/>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24" fillId="0" borderId="2" xfId="0" applyFont="1" applyBorder="1"/>
    <xf numFmtId="167" fontId="2" fillId="0" borderId="0" xfId="0" applyNumberFormat="1" applyFont="1"/>
    <xf numFmtId="9" fontId="8" fillId="0" borderId="0" xfId="1" applyFont="1"/>
    <xf numFmtId="9" fontId="2" fillId="0" borderId="0" xfId="1" applyFont="1"/>
    <xf numFmtId="171" fontId="3" fillId="3" borderId="0" xfId="3" applyNumberFormat="1" applyFont="1" applyFill="1" applyAlignment="1">
      <alignment vertical="center" wrapText="1"/>
    </xf>
    <xf numFmtId="9" fontId="3" fillId="3" borderId="0" xfId="1" applyFont="1" applyFill="1" applyAlignment="1">
      <alignment vertical="center" wrapText="1"/>
    </xf>
    <xf numFmtId="171" fontId="2" fillId="0" borderId="0" xfId="3" applyNumberFormat="1" applyFont="1" applyAlignment="1">
      <alignment horizontal="right"/>
    </xf>
    <xf numFmtId="171" fontId="2" fillId="0" borderId="0" xfId="3" applyNumberFormat="1" applyFont="1"/>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71" fontId="3" fillId="3" borderId="0" xfId="3" applyNumberFormat="1" applyFont="1" applyFill="1" applyAlignment="1">
      <alignment vertical="center"/>
    </xf>
    <xf numFmtId="9" fontId="3" fillId="3" borderId="0" xfId="1" applyFont="1" applyFill="1" applyAlignment="1">
      <alignment vertical="center"/>
    </xf>
    <xf numFmtId="9" fontId="3" fillId="10" borderId="0" xfId="1" applyFont="1" applyFill="1" applyAlignment="1">
      <alignment vertical="center" wrapText="1"/>
    </xf>
    <xf numFmtId="171" fontId="3" fillId="10" borderId="0" xfId="3" applyNumberFormat="1" applyFont="1" applyFill="1" applyAlignment="1">
      <alignment vertical="center" wrapText="1"/>
    </xf>
    <xf numFmtId="171" fontId="12" fillId="10" borderId="0" xfId="3" applyNumberFormat="1" applyFont="1" applyFill="1" applyAlignment="1">
      <alignment vertical="center" wrapText="1"/>
    </xf>
    <xf numFmtId="9" fontId="12" fillId="10" borderId="0" xfId="1" applyFont="1" applyFill="1" applyAlignment="1">
      <alignment vertical="center" wrapText="1"/>
    </xf>
    <xf numFmtId="0" fontId="4" fillId="2" borderId="1" xfId="0" applyFont="1" applyFill="1" applyBorder="1" applyAlignment="1">
      <alignment vertical="center"/>
    </xf>
    <xf numFmtId="171" fontId="3" fillId="3" borderId="0" xfId="3" applyNumberFormat="1" applyFont="1" applyFill="1" applyAlignment="1">
      <alignment horizontal="right" vertical="center" wrapText="1"/>
    </xf>
    <xf numFmtId="9" fontId="3" fillId="3" borderId="0" xfId="1" applyFont="1" applyFill="1" applyAlignment="1">
      <alignment horizontal="right" vertical="center" wrapText="1"/>
    </xf>
    <xf numFmtId="9" fontId="0" fillId="0" borderId="0" xfId="1" applyFont="1" applyAlignment="1">
      <alignment horizontal="right" vertical="center"/>
    </xf>
    <xf numFmtId="0" fontId="0" fillId="0" borderId="0" xfId="0" applyAlignment="1">
      <alignment horizontal="right" vertical="center"/>
    </xf>
    <xf numFmtId="9" fontId="0" fillId="0" borderId="0" xfId="0" applyNumberFormat="1" applyAlignment="1">
      <alignment horizontal="right" vertical="center"/>
    </xf>
    <xf numFmtId="0" fontId="19" fillId="0" borderId="2" xfId="0" applyFont="1" applyBorder="1" applyAlignment="1">
      <alignment horizontal="left" vertical="center" wrapText="1"/>
    </xf>
    <xf numFmtId="0" fontId="3" fillId="3" borderId="0" xfId="0" applyFont="1" applyFill="1" applyAlignment="1">
      <alignment horizontal="left" vertical="center" wrapText="1"/>
    </xf>
    <xf numFmtId="168" fontId="3" fillId="3" borderId="0" xfId="2" applyNumberFormat="1" applyFont="1" applyFill="1" applyBorder="1" applyAlignment="1">
      <alignment horizontal="right" vertical="center"/>
    </xf>
    <xf numFmtId="9" fontId="3" fillId="3" borderId="0" xfId="1" applyFont="1" applyFill="1" applyBorder="1" applyAlignment="1">
      <alignment horizontal="right" vertical="center"/>
    </xf>
    <xf numFmtId="168" fontId="11" fillId="0" borderId="0" xfId="2" applyNumberFormat="1" applyFont="1" applyFill="1" applyBorder="1" applyAlignment="1">
      <alignment horizontal="left" vertical="center"/>
    </xf>
    <xf numFmtId="9" fontId="13" fillId="5" borderId="0" xfId="1" applyFont="1" applyFill="1" applyAlignment="1">
      <alignment horizontal="right"/>
    </xf>
    <xf numFmtId="9" fontId="11" fillId="5" borderId="0" xfId="1" applyFont="1" applyFill="1" applyBorder="1" applyAlignment="1">
      <alignment horizontal="right" vertical="center"/>
    </xf>
    <xf numFmtId="20" fontId="13" fillId="5" borderId="0" xfId="1" applyNumberFormat="1" applyFont="1" applyFill="1" applyAlignment="1">
      <alignment horizontal="right"/>
    </xf>
    <xf numFmtId="168" fontId="3" fillId="3" borderId="0" xfId="2" applyNumberFormat="1" applyFont="1" applyFill="1" applyBorder="1" applyAlignment="1">
      <alignment horizontal="left" vertical="center" wrapText="1"/>
    </xf>
    <xf numFmtId="0" fontId="3" fillId="2" borderId="0" xfId="0" applyFont="1" applyFill="1" applyAlignment="1">
      <alignment horizontal="left" vertical="center" wrapText="1"/>
    </xf>
    <xf numFmtId="168" fontId="3" fillId="3" borderId="0" xfId="0" applyNumberFormat="1" applyFont="1" applyFill="1" applyAlignment="1">
      <alignment horizontal="left" vertical="center" wrapText="1"/>
    </xf>
    <xf numFmtId="9" fontId="4" fillId="5" borderId="0" xfId="1" applyFont="1" applyFill="1" applyBorder="1" applyAlignment="1">
      <alignment horizontal="right" vertical="center" wrapText="1"/>
    </xf>
    <xf numFmtId="9" fontId="12" fillId="5" borderId="0" xfId="1" applyFont="1" applyFill="1" applyBorder="1" applyAlignment="1">
      <alignment horizontal="right" vertical="center"/>
    </xf>
    <xf numFmtId="9" fontId="4" fillId="5" borderId="0" xfId="1" applyFont="1" applyFill="1" applyBorder="1" applyAlignment="1">
      <alignment horizontal="right" vertical="center"/>
    </xf>
    <xf numFmtId="168" fontId="14" fillId="3" borderId="0" xfId="2" applyNumberFormat="1" applyFont="1" applyFill="1" applyBorder="1" applyAlignment="1">
      <alignment horizontal="right" vertical="center" wrapText="1"/>
    </xf>
    <xf numFmtId="9" fontId="14" fillId="3" borderId="0" xfId="1" applyFont="1" applyFill="1" applyBorder="1" applyAlignment="1">
      <alignment horizontal="right" vertical="center" wrapText="1"/>
    </xf>
    <xf numFmtId="2" fontId="3" fillId="3" borderId="0" xfId="0" applyNumberFormat="1" applyFont="1" applyFill="1" applyAlignment="1">
      <alignment horizontal="left" vertical="center"/>
    </xf>
    <xf numFmtId="0" fontId="13" fillId="0" borderId="0" xfId="0" applyFont="1" applyAlignment="1">
      <alignment horizontal="left" vertical="center" wrapText="1"/>
    </xf>
    <xf numFmtId="0" fontId="3" fillId="0" borderId="0" xfId="0" applyFont="1" applyAlignment="1">
      <alignment horizontal="left" vertical="center" wrapText="1"/>
    </xf>
    <xf numFmtId="168" fontId="14" fillId="0" borderId="0" xfId="2" applyNumberFormat="1" applyFont="1" applyFill="1" applyBorder="1" applyAlignment="1">
      <alignment horizontal="right" vertical="center" wrapText="1"/>
    </xf>
    <xf numFmtId="0" fontId="3" fillId="0" borderId="0" xfId="0" applyFont="1" applyAlignment="1">
      <alignment horizontal="left" vertical="center"/>
    </xf>
    <xf numFmtId="9" fontId="14" fillId="0" borderId="0" xfId="1" applyFont="1" applyFill="1" applyBorder="1" applyAlignment="1">
      <alignment horizontal="right" vertical="center" wrapText="1"/>
    </xf>
    <xf numFmtId="3" fontId="3" fillId="0" borderId="0" xfId="2" applyNumberFormat="1" applyFont="1" applyFill="1" applyBorder="1" applyAlignment="1">
      <alignment horizontal="right" vertical="center"/>
    </xf>
    <xf numFmtId="168" fontId="5" fillId="0" borderId="0" xfId="2" applyNumberFormat="1" applyFont="1" applyAlignment="1">
      <alignment horizontal="right"/>
    </xf>
    <xf numFmtId="168" fontId="14" fillId="0" borderId="0" xfId="2" applyNumberFormat="1" applyFont="1" applyAlignment="1">
      <alignment horizontal="right"/>
    </xf>
    <xf numFmtId="0" fontId="5" fillId="0" borderId="2" xfId="0" applyFont="1" applyFill="1" applyBorder="1" applyAlignment="1">
      <alignment horizontal="center" vertical="center" wrapText="1"/>
    </xf>
    <xf numFmtId="0" fontId="25" fillId="8" borderId="0" xfId="0" applyFont="1" applyFill="1"/>
    <xf numFmtId="0" fontId="13" fillId="8" borderId="0" xfId="0" applyFont="1" applyFill="1"/>
    <xf numFmtId="0" fontId="13" fillId="8" borderId="0" xfId="0" applyFont="1" applyFill="1" applyAlignment="1">
      <alignment horizontal="right"/>
    </xf>
    <xf numFmtId="0" fontId="14" fillId="4" borderId="0" xfId="0" applyFont="1" applyFill="1" applyAlignment="1">
      <alignment horizontal="center"/>
    </xf>
    <xf numFmtId="0" fontId="14" fillId="4" borderId="0" xfId="0" applyFont="1" applyFill="1" applyAlignment="1">
      <alignment horizontal="left"/>
    </xf>
    <xf numFmtId="0" fontId="13" fillId="4" borderId="0" xfId="0" applyFont="1" applyFill="1" applyAlignment="1">
      <alignment horizontal="center"/>
    </xf>
    <xf numFmtId="0" fontId="13" fillId="4" borderId="0" xfId="0" applyFont="1" applyFill="1" applyAlignment="1">
      <alignment horizontal="right"/>
    </xf>
    <xf numFmtId="0" fontId="13" fillId="0" borderId="0" xfId="0" applyFont="1" applyAlignment="1">
      <alignment wrapText="1"/>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171" fontId="13" fillId="0" borderId="0" xfId="0" applyNumberFormat="1" applyFont="1"/>
    <xf numFmtId="172" fontId="13" fillId="0" borderId="0" xfId="1" applyNumberFormat="1" applyFont="1"/>
    <xf numFmtId="171" fontId="13" fillId="0" borderId="0" xfId="3" applyNumberFormat="1" applyFont="1"/>
    <xf numFmtId="172" fontId="3" fillId="3" borderId="0" xfId="1" applyNumberFormat="1" applyFont="1" applyFill="1" applyAlignment="1">
      <alignment vertical="center" wrapText="1"/>
    </xf>
    <xf numFmtId="0" fontId="14" fillId="0" borderId="0" xfId="0" applyFont="1" applyAlignment="1">
      <alignment wrapText="1"/>
    </xf>
    <xf numFmtId="0" fontId="14" fillId="0" borderId="0" xfId="0" applyFont="1" applyAlignment="1">
      <alignment horizontal="right" wrapText="1"/>
    </xf>
    <xf numFmtId="0" fontId="14" fillId="0" borderId="0" xfId="0" applyFont="1" applyBorder="1" applyAlignment="1">
      <alignment horizontal="right" wrapText="1"/>
    </xf>
    <xf numFmtId="0" fontId="13" fillId="0" borderId="2" xfId="0" applyFont="1" applyBorder="1"/>
    <xf numFmtId="0" fontId="13" fillId="0" borderId="0" xfId="0" applyFont="1" applyAlignment="1"/>
    <xf numFmtId="171" fontId="13" fillId="0" borderId="0" xfId="3" applyNumberFormat="1" applyFont="1" applyAlignment="1"/>
    <xf numFmtId="9" fontId="13" fillId="0" borderId="0" xfId="1" applyFont="1" applyAlignment="1"/>
    <xf numFmtId="0" fontId="13" fillId="0" borderId="0" xfId="0" applyFont="1" applyAlignment="1">
      <alignment horizontal="center" wrapText="1"/>
    </xf>
    <xf numFmtId="0" fontId="14" fillId="0" borderId="0" xfId="0" applyFont="1" applyAlignment="1">
      <alignment horizontal="center" wrapText="1"/>
    </xf>
    <xf numFmtId="43" fontId="13" fillId="0" borderId="0" xfId="3" applyFont="1" applyAlignment="1">
      <alignment horizontal="right"/>
    </xf>
    <xf numFmtId="171" fontId="13" fillId="0" borderId="0" xfId="3" applyNumberFormat="1" applyFont="1" applyAlignment="1">
      <alignment wrapText="1"/>
    </xf>
    <xf numFmtId="9" fontId="13" fillId="0" borderId="0" xfId="1" applyFont="1" applyAlignment="1">
      <alignment wrapText="1"/>
    </xf>
    <xf numFmtId="43" fontId="13" fillId="0" borderId="0" xfId="3" applyFont="1" applyAlignment="1">
      <alignment horizontal="right" wrapText="1"/>
    </xf>
    <xf numFmtId="43" fontId="3" fillId="3" borderId="0" xfId="3" applyFont="1" applyFill="1" applyAlignment="1">
      <alignment horizontal="right" vertical="center" wrapText="1"/>
    </xf>
    <xf numFmtId="0" fontId="13" fillId="0" borderId="0" xfId="0" applyFont="1" applyAlignment="1">
      <alignment vertical="center"/>
    </xf>
    <xf numFmtId="0" fontId="13" fillId="0" borderId="0" xfId="0" applyFont="1" applyAlignment="1">
      <alignment horizontal="center" vertical="center" wrapText="1"/>
    </xf>
    <xf numFmtId="169" fontId="10" fillId="3" borderId="0" xfId="2" applyNumberFormat="1" applyFont="1" applyFill="1" applyBorder="1" applyAlignment="1">
      <alignment horizontal="right" vertical="center"/>
    </xf>
    <xf numFmtId="0" fontId="11" fillId="0" borderId="0" xfId="0" applyFont="1" applyAlignment="1">
      <alignment horizontal="left" vertical="center"/>
    </xf>
    <xf numFmtId="9" fontId="26" fillId="0" borderId="0" xfId="0" applyNumberFormat="1" applyFont="1" applyAlignment="1">
      <alignment horizontal="left" vertical="center"/>
    </xf>
    <xf numFmtId="3" fontId="4" fillId="7" borderId="0" xfId="2" applyNumberFormat="1" applyFont="1" applyFill="1" applyBorder="1" applyAlignment="1">
      <alignment horizontal="right" vertical="center" wrapText="1"/>
    </xf>
    <xf numFmtId="0" fontId="26" fillId="0" borderId="0" xfId="0" applyFont="1" applyAlignment="1">
      <alignment horizontal="left" vertical="center"/>
    </xf>
    <xf numFmtId="3" fontId="12" fillId="7" borderId="0" xfId="2" applyNumberFormat="1" applyFont="1" applyFill="1" applyBorder="1" applyAlignment="1">
      <alignment horizontal="right" vertical="center" wrapText="1"/>
    </xf>
    <xf numFmtId="3" fontId="3" fillId="2" borderId="0" xfId="0" applyNumberFormat="1" applyFont="1" applyFill="1" applyAlignment="1">
      <alignment vertical="center" wrapText="1"/>
    </xf>
    <xf numFmtId="0" fontId="10" fillId="0" borderId="0" xfId="0" applyFont="1" applyAlignment="1">
      <alignment horizontal="right"/>
    </xf>
    <xf numFmtId="3" fontId="4" fillId="2" borderId="0" xfId="0" applyNumberFormat="1" applyFont="1" applyFill="1" applyAlignment="1">
      <alignment vertical="center" wrapText="1"/>
    </xf>
    <xf numFmtId="0" fontId="10" fillId="5" borderId="0" xfId="0" applyFont="1" applyFill="1" applyAlignment="1">
      <alignment horizontal="right"/>
    </xf>
    <xf numFmtId="0" fontId="11" fillId="5" borderId="0" xfId="0" applyFont="1" applyFill="1" applyAlignment="1">
      <alignment horizontal="right"/>
    </xf>
    <xf numFmtId="0" fontId="12" fillId="2" borderId="0" xfId="0" applyFont="1" applyFill="1" applyAlignment="1">
      <alignment horizontal="left" vertical="center" wrapText="1" indent="1"/>
    </xf>
    <xf numFmtId="0" fontId="4" fillId="0" borderId="0" xfId="0" applyFont="1" applyAlignment="1">
      <alignment horizontal="left" vertical="center" wrapText="1" indent="1"/>
    </xf>
    <xf numFmtId="3" fontId="4" fillId="0" borderId="0" xfId="0" applyNumberFormat="1" applyFont="1" applyAlignment="1">
      <alignment vertical="center" wrapText="1"/>
    </xf>
    <xf numFmtId="0" fontId="12" fillId="2" borderId="0" xfId="0" applyFont="1" applyFill="1" applyAlignment="1">
      <alignment horizontal="left" vertical="center" wrapText="1"/>
    </xf>
    <xf numFmtId="0" fontId="11" fillId="2" borderId="0" xfId="0" applyFont="1" applyFill="1" applyAlignment="1">
      <alignment vertical="center"/>
    </xf>
    <xf numFmtId="9" fontId="11" fillId="5" borderId="0" xfId="1" applyFont="1" applyFill="1" applyAlignment="1">
      <alignment horizontal="right"/>
    </xf>
    <xf numFmtId="3" fontId="10" fillId="3" borderId="0" xfId="2" applyNumberFormat="1" applyFont="1" applyFill="1" applyBorder="1" applyAlignment="1">
      <alignment horizontal="right" vertical="center"/>
    </xf>
    <xf numFmtId="0" fontId="4" fillId="0" borderId="0" xfId="0" applyFont="1" applyAlignment="1">
      <alignment vertical="center"/>
    </xf>
    <xf numFmtId="166" fontId="13" fillId="5" borderId="0" xfId="0" applyNumberFormat="1" applyFont="1" applyFill="1"/>
    <xf numFmtId="0" fontId="14" fillId="0" borderId="2" xfId="0" applyFont="1" applyBorder="1" applyAlignment="1">
      <alignment horizontal="right" wrapText="1"/>
    </xf>
    <xf numFmtId="168" fontId="13" fillId="0" borderId="0" xfId="2" applyNumberFormat="1" applyFont="1"/>
    <xf numFmtId="168" fontId="13" fillId="0" borderId="0" xfId="2" applyNumberFormat="1" applyFont="1" applyBorder="1"/>
    <xf numFmtId="168" fontId="13" fillId="0" borderId="0" xfId="2" applyNumberFormat="1" applyFont="1" applyBorder="1" applyAlignment="1">
      <alignment horizontal="right"/>
    </xf>
    <xf numFmtId="168" fontId="13" fillId="0" borderId="2" xfId="2" applyNumberFormat="1" applyFont="1" applyBorder="1"/>
    <xf numFmtId="168" fontId="13" fillId="0" borderId="2" xfId="2" applyNumberFormat="1" applyFont="1" applyBorder="1" applyAlignment="1">
      <alignment horizontal="right"/>
    </xf>
    <xf numFmtId="166" fontId="13" fillId="0" borderId="0" xfId="1" applyNumberFormat="1" applyFont="1"/>
    <xf numFmtId="9" fontId="13" fillId="5" borderId="0" xfId="1" applyFont="1" applyFill="1"/>
    <xf numFmtId="169" fontId="13" fillId="0" borderId="0" xfId="0" applyNumberFormat="1" applyFont="1"/>
    <xf numFmtId="0" fontId="13" fillId="10" borderId="0" xfId="0" applyFont="1" applyFill="1"/>
    <xf numFmtId="0" fontId="14" fillId="0" borderId="2" xfId="0" applyFont="1" applyBorder="1" applyAlignment="1">
      <alignment wrapText="1"/>
    </xf>
    <xf numFmtId="171" fontId="18" fillId="0" borderId="0" xfId="3" applyNumberFormat="1" applyFont="1" applyAlignment="1">
      <alignment horizontal="right"/>
    </xf>
    <xf numFmtId="43" fontId="14" fillId="0" borderId="2" xfId="3" applyFont="1" applyBorder="1" applyAlignment="1">
      <alignment horizontal="center" vertical="center" wrapText="1"/>
    </xf>
    <xf numFmtId="0" fontId="18" fillId="0" borderId="2" xfId="0" applyFont="1" applyBorder="1" applyAlignment="1">
      <alignment horizontal="center" vertical="center" wrapText="1"/>
    </xf>
    <xf numFmtId="0" fontId="13" fillId="0" borderId="0" xfId="0" applyFont="1" applyAlignment="1">
      <alignment horizontal="right" wrapText="1"/>
    </xf>
    <xf numFmtId="0" fontId="27" fillId="2" borderId="6" xfId="0" applyFont="1" applyFill="1" applyBorder="1" applyAlignment="1">
      <alignment horizontal="right" vertical="center" wrapText="1"/>
    </xf>
    <xf numFmtId="0" fontId="15" fillId="2" borderId="7" xfId="0" applyFont="1" applyFill="1" applyBorder="1" applyAlignment="1">
      <alignment horizontal="right" vertical="center" wrapText="1"/>
    </xf>
    <xf numFmtId="0" fontId="28" fillId="2" borderId="7" xfId="0" applyFont="1" applyFill="1" applyBorder="1" applyAlignment="1">
      <alignment horizontal="right" vertical="center" wrapText="1"/>
    </xf>
    <xf numFmtId="0" fontId="29" fillId="2" borderId="7" xfId="0" applyFont="1" applyFill="1" applyBorder="1" applyAlignment="1">
      <alignment horizontal="right" vertical="center" wrapText="1"/>
    </xf>
    <xf numFmtId="0" fontId="15" fillId="2" borderId="6" xfId="0" applyFont="1" applyFill="1" applyBorder="1" applyAlignment="1">
      <alignment horizontal="right" vertical="center" wrapText="1"/>
    </xf>
    <xf numFmtId="0" fontId="4" fillId="2" borderId="0" xfId="0" applyFont="1" applyFill="1" applyAlignment="1">
      <alignment horizontal="left" vertical="center" indent="3"/>
    </xf>
    <xf numFmtId="0" fontId="13" fillId="2" borderId="0" xfId="0" applyFont="1" applyFill="1" applyAlignment="1">
      <alignment horizontal="left" vertical="center" indent="3"/>
    </xf>
    <xf numFmtId="0" fontId="13" fillId="2" borderId="0" xfId="0" applyFont="1" applyFill="1" applyAlignment="1">
      <alignment horizontal="left" vertical="center" indent="2"/>
    </xf>
    <xf numFmtId="0" fontId="4" fillId="2" borderId="2" xfId="0" applyFont="1" applyFill="1" applyBorder="1" applyAlignment="1">
      <alignment horizontal="left" vertical="center" wrapText="1" indent="2"/>
    </xf>
    <xf numFmtId="169" fontId="18" fillId="0" borderId="0" xfId="2" applyNumberFormat="1" applyFont="1" applyAlignment="1">
      <alignment horizontal="right" vertical="center"/>
    </xf>
    <xf numFmtId="0" fontId="14" fillId="0" borderId="2" xfId="0" applyFont="1" applyBorder="1" applyAlignment="1">
      <alignment horizontal="left" vertical="center" wrapText="1"/>
    </xf>
    <xf numFmtId="173" fontId="13" fillId="5" borderId="0" xfId="3" applyNumberFormat="1" applyFont="1" applyFill="1" applyAlignment="1">
      <alignment horizontal="right"/>
    </xf>
    <xf numFmtId="173" fontId="11" fillId="5" borderId="0" xfId="3" applyNumberFormat="1" applyFont="1" applyFill="1" applyAlignment="1">
      <alignment horizontal="right"/>
    </xf>
    <xf numFmtId="173" fontId="22" fillId="10" borderId="0" xfId="3" applyNumberFormat="1" applyFont="1" applyFill="1" applyAlignment="1">
      <alignment horizontal="right"/>
    </xf>
    <xf numFmtId="173" fontId="11" fillId="7" borderId="0" xfId="3" applyNumberFormat="1" applyFont="1" applyFill="1" applyAlignment="1">
      <alignment horizontal="right"/>
    </xf>
    <xf numFmtId="173" fontId="4" fillId="10" borderId="0" xfId="3" applyNumberFormat="1" applyFont="1" applyFill="1" applyBorder="1" applyAlignment="1">
      <alignment horizontal="right" vertical="center"/>
    </xf>
    <xf numFmtId="173" fontId="3" fillId="10" borderId="0" xfId="3" applyNumberFormat="1" applyFont="1" applyFill="1" applyBorder="1" applyAlignment="1">
      <alignment horizontal="right" vertical="center"/>
    </xf>
    <xf numFmtId="173" fontId="13" fillId="10" borderId="0" xfId="3" applyNumberFormat="1" applyFont="1" applyFill="1" applyAlignment="1">
      <alignment horizontal="right" vertical="center"/>
    </xf>
    <xf numFmtId="173" fontId="13" fillId="5" borderId="0" xfId="3" applyNumberFormat="1" applyFont="1" applyFill="1" applyAlignment="1">
      <alignment horizontal="right" vertical="center"/>
    </xf>
    <xf numFmtId="173" fontId="11" fillId="5" borderId="0" xfId="3" applyNumberFormat="1" applyFont="1" applyFill="1" applyAlignment="1">
      <alignment horizontal="right" vertical="center"/>
    </xf>
    <xf numFmtId="173" fontId="14" fillId="10" borderId="0" xfId="3" applyNumberFormat="1" applyFont="1" applyFill="1" applyBorder="1" applyAlignment="1">
      <alignment horizontal="right" vertical="center" wrapText="1"/>
    </xf>
    <xf numFmtId="3" fontId="10" fillId="0" borderId="2" xfId="0" applyNumberFormat="1" applyFont="1" applyBorder="1" applyAlignment="1">
      <alignment horizontal="center" vertical="center" wrapText="1"/>
    </xf>
    <xf numFmtId="173" fontId="2" fillId="8" borderId="0" xfId="3" applyNumberFormat="1" applyFont="1" applyFill="1" applyAlignment="1">
      <alignment horizontal="center"/>
    </xf>
    <xf numFmtId="173" fontId="2" fillId="0" borderId="0" xfId="3" applyNumberFormat="1" applyFont="1" applyAlignment="1">
      <alignment horizontal="center"/>
    </xf>
    <xf numFmtId="173" fontId="2" fillId="4" borderId="0" xfId="3" applyNumberFormat="1" applyFont="1" applyFill="1" applyAlignment="1">
      <alignment horizontal="center"/>
    </xf>
    <xf numFmtId="173" fontId="3" fillId="3" borderId="0" xfId="3" applyNumberFormat="1" applyFont="1" applyFill="1" applyBorder="1" applyAlignment="1">
      <alignment horizontal="center" vertical="center"/>
    </xf>
    <xf numFmtId="173" fontId="10" fillId="0" borderId="0" xfId="3" applyNumberFormat="1" applyFont="1" applyAlignment="1">
      <alignment horizontal="center" vertical="center"/>
    </xf>
    <xf numFmtId="173" fontId="13" fillId="5" borderId="0" xfId="3" applyNumberFormat="1" applyFont="1" applyFill="1" applyAlignment="1">
      <alignment horizontal="center"/>
    </xf>
    <xf numFmtId="173" fontId="11" fillId="0" borderId="0" xfId="3" applyNumberFormat="1" applyFont="1" applyAlignment="1">
      <alignment horizontal="center" vertical="center"/>
    </xf>
    <xf numFmtId="173" fontId="13" fillId="0" borderId="0" xfId="3" applyNumberFormat="1" applyFont="1" applyAlignment="1">
      <alignment horizontal="center"/>
    </xf>
    <xf numFmtId="173" fontId="4" fillId="2" borderId="0" xfId="3" applyNumberFormat="1" applyFont="1" applyFill="1" applyBorder="1" applyAlignment="1">
      <alignment horizontal="center" vertical="center" wrapText="1"/>
    </xf>
    <xf numFmtId="173" fontId="14" fillId="3" borderId="0" xfId="3" applyNumberFormat="1" applyFont="1" applyFill="1" applyBorder="1" applyAlignment="1">
      <alignment horizontal="center" vertical="center" wrapText="1"/>
    </xf>
    <xf numFmtId="173" fontId="13" fillId="5" borderId="0" xfId="3" applyNumberFormat="1" applyFont="1" applyFill="1" applyAlignment="1">
      <alignment horizontal="center" vertical="center"/>
    </xf>
    <xf numFmtId="173" fontId="2" fillId="0" borderId="2" xfId="3" applyNumberFormat="1" applyFont="1" applyBorder="1" applyAlignment="1">
      <alignment horizontal="center"/>
    </xf>
    <xf numFmtId="173" fontId="3" fillId="2" borderId="1" xfId="3" applyNumberFormat="1" applyFont="1" applyFill="1" applyBorder="1" applyAlignment="1">
      <alignment horizontal="center" vertical="center" wrapText="1"/>
    </xf>
    <xf numFmtId="173" fontId="3" fillId="2" borderId="0" xfId="3" applyNumberFormat="1" applyFont="1" applyFill="1" applyAlignment="1">
      <alignment horizontal="center" vertical="center" wrapText="1"/>
    </xf>
    <xf numFmtId="173" fontId="5" fillId="0" borderId="0" xfId="3" applyNumberFormat="1" applyFont="1" applyAlignment="1">
      <alignment horizontal="center"/>
    </xf>
    <xf numFmtId="173" fontId="3" fillId="3" borderId="0" xfId="3" applyNumberFormat="1" applyFont="1" applyFill="1" applyBorder="1" applyAlignment="1">
      <alignment horizontal="center" vertical="center" wrapText="1"/>
    </xf>
    <xf numFmtId="173" fontId="24" fillId="0" borderId="2" xfId="3" applyNumberFormat="1" applyFont="1" applyBorder="1" applyAlignment="1">
      <alignment horizontal="center"/>
    </xf>
    <xf numFmtId="173" fontId="3" fillId="3" borderId="0" xfId="3" applyNumberFormat="1" applyFont="1" applyFill="1" applyAlignment="1">
      <alignment horizontal="center" vertical="center" wrapText="1"/>
    </xf>
    <xf numFmtId="173" fontId="4" fillId="2" borderId="0" xfId="3" applyNumberFormat="1" applyFont="1" applyFill="1" applyBorder="1" applyAlignment="1">
      <alignment horizontal="center" vertical="center"/>
    </xf>
    <xf numFmtId="173" fontId="4" fillId="2" borderId="0" xfId="3" applyNumberFormat="1" applyFont="1" applyFill="1" applyAlignment="1">
      <alignment horizontal="center" vertical="center" wrapText="1"/>
    </xf>
    <xf numFmtId="173" fontId="31" fillId="0" borderId="0" xfId="3" applyNumberFormat="1" applyFont="1" applyAlignment="1">
      <alignment horizontal="center" vertical="center"/>
    </xf>
    <xf numFmtId="173" fontId="13" fillId="8" borderId="0" xfId="3" applyNumberFormat="1" applyFont="1" applyFill="1" applyAlignment="1">
      <alignment horizontal="right"/>
    </xf>
    <xf numFmtId="173" fontId="13" fillId="0" borderId="0" xfId="3" applyNumberFormat="1" applyFont="1" applyAlignment="1">
      <alignment horizontal="right"/>
    </xf>
    <xf numFmtId="173" fontId="13" fillId="4" borderId="0" xfId="3" applyNumberFormat="1" applyFont="1" applyFill="1" applyAlignment="1">
      <alignment horizontal="right"/>
    </xf>
    <xf numFmtId="173" fontId="10" fillId="0" borderId="2" xfId="3" applyNumberFormat="1" applyFont="1" applyBorder="1" applyAlignment="1">
      <alignment horizontal="center" vertical="center" wrapText="1"/>
    </xf>
    <xf numFmtId="173" fontId="3" fillId="3" borderId="0" xfId="3" applyNumberFormat="1" applyFont="1" applyFill="1" applyBorder="1" applyAlignment="1">
      <alignment horizontal="right" vertical="center"/>
    </xf>
    <xf numFmtId="173" fontId="14" fillId="0" borderId="0" xfId="3" applyNumberFormat="1" applyFont="1" applyAlignment="1">
      <alignment horizontal="right"/>
    </xf>
    <xf numFmtId="173" fontId="14" fillId="5" borderId="0" xfId="3" applyNumberFormat="1" applyFont="1" applyFill="1" applyAlignment="1">
      <alignment horizontal="right"/>
    </xf>
    <xf numFmtId="173" fontId="3" fillId="5" borderId="0" xfId="3" applyNumberFormat="1" applyFont="1" applyFill="1" applyBorder="1" applyAlignment="1">
      <alignment horizontal="right" vertical="center"/>
    </xf>
    <xf numFmtId="173" fontId="13" fillId="5" borderId="0" xfId="3" applyNumberFormat="1" applyFont="1" applyFill="1" applyAlignment="1">
      <alignment horizontal="right" wrapText="1"/>
    </xf>
    <xf numFmtId="173" fontId="13" fillId="11" borderId="0" xfId="3" applyNumberFormat="1" applyFont="1" applyFill="1" applyAlignment="1">
      <alignment horizontal="right"/>
    </xf>
    <xf numFmtId="173" fontId="14" fillId="3" borderId="0" xfId="3" applyNumberFormat="1" applyFont="1" applyFill="1" applyBorder="1" applyAlignment="1">
      <alignment horizontal="right" vertical="center" wrapText="1"/>
    </xf>
    <xf numFmtId="173" fontId="14" fillId="0" borderId="2" xfId="3" applyNumberFormat="1" applyFont="1" applyBorder="1" applyAlignment="1">
      <alignment horizontal="right" wrapText="1"/>
    </xf>
    <xf numFmtId="173" fontId="4" fillId="2" borderId="0" xfId="3" applyNumberFormat="1" applyFont="1" applyFill="1" applyBorder="1" applyAlignment="1">
      <alignment horizontal="right" vertical="center" wrapText="1"/>
    </xf>
    <xf numFmtId="173" fontId="3" fillId="2" borderId="0" xfId="3" applyNumberFormat="1" applyFont="1" applyFill="1" applyBorder="1" applyAlignment="1">
      <alignment horizontal="right" vertical="center" wrapText="1"/>
    </xf>
    <xf numFmtId="173" fontId="3" fillId="10" borderId="0" xfId="3" applyNumberFormat="1" applyFont="1" applyFill="1" applyBorder="1" applyAlignment="1">
      <alignment horizontal="right" vertical="center" wrapText="1"/>
    </xf>
    <xf numFmtId="173" fontId="13" fillId="0" borderId="0" xfId="3" applyNumberFormat="1" applyFont="1" applyBorder="1" applyAlignment="1">
      <alignment horizontal="right"/>
    </xf>
    <xf numFmtId="173" fontId="13" fillId="0" borderId="2" xfId="3" applyNumberFormat="1" applyFont="1" applyBorder="1" applyAlignment="1">
      <alignment horizontal="right"/>
    </xf>
    <xf numFmtId="173" fontId="14" fillId="0" borderId="2" xfId="3" applyNumberFormat="1" applyFont="1" applyFill="1" applyBorder="1" applyAlignment="1">
      <alignment horizontal="center" vertical="center" wrapText="1"/>
    </xf>
    <xf numFmtId="173" fontId="13" fillId="0" borderId="0" xfId="3" applyNumberFormat="1" applyFont="1"/>
    <xf numFmtId="173" fontId="3" fillId="10" borderId="0" xfId="3" applyNumberFormat="1" applyFont="1" applyFill="1" applyAlignment="1">
      <alignment vertical="center" wrapText="1"/>
    </xf>
    <xf numFmtId="173" fontId="3" fillId="3" borderId="0" xfId="3" applyNumberFormat="1" applyFont="1" applyFill="1" applyAlignment="1">
      <alignment vertical="center" wrapText="1"/>
    </xf>
    <xf numFmtId="0" fontId="30" fillId="0" borderId="2" xfId="0" applyFont="1" applyFill="1" applyBorder="1" applyAlignment="1">
      <alignment horizontal="center" vertical="center" wrapText="1"/>
    </xf>
    <xf numFmtId="172" fontId="18" fillId="0" borderId="0" xfId="1" applyNumberFormat="1" applyFont="1"/>
    <xf numFmtId="172" fontId="17" fillId="3" borderId="0" xfId="1" applyNumberFormat="1" applyFont="1" applyFill="1" applyAlignment="1">
      <alignment vertical="center" wrapText="1"/>
    </xf>
    <xf numFmtId="171" fontId="0" fillId="0" borderId="0" xfId="3" applyNumberFormat="1" applyFont="1" applyAlignment="1">
      <alignment horizontal="right" vertical="center"/>
    </xf>
    <xf numFmtId="171" fontId="13" fillId="0" borderId="0" xfId="3" applyNumberFormat="1" applyFont="1" applyFill="1" applyAlignment="1"/>
    <xf numFmtId="9" fontId="13" fillId="0" borderId="0" xfId="1" applyFont="1" applyFill="1" applyAlignment="1"/>
    <xf numFmtId="165" fontId="4" fillId="0" borderId="0" xfId="2" applyNumberFormat="1" applyFont="1" applyFill="1" applyBorder="1" applyAlignment="1">
      <alignment horizontal="right" vertical="center" wrapText="1"/>
    </xf>
    <xf numFmtId="168" fontId="19" fillId="0" borderId="2" xfId="2" applyNumberFormat="1" applyFont="1" applyFill="1" applyBorder="1" applyAlignment="1">
      <alignment horizontal="center" vertical="center" wrapText="1"/>
    </xf>
    <xf numFmtId="9" fontId="19" fillId="0" borderId="2" xfId="1" applyFont="1" applyFill="1" applyBorder="1" applyAlignment="1">
      <alignment horizontal="right" vertical="center" wrapText="1"/>
    </xf>
    <xf numFmtId="0" fontId="19" fillId="0" borderId="0" xfId="0" applyFont="1" applyAlignment="1">
      <alignment horizontal="left" vertical="center" wrapText="1"/>
    </xf>
    <xf numFmtId="0" fontId="19" fillId="0" borderId="2" xfId="0" applyFont="1" applyBorder="1" applyAlignment="1">
      <alignment horizontal="right" vertical="center" wrapText="1"/>
    </xf>
    <xf numFmtId="0" fontId="19" fillId="0" borderId="0" xfId="0" applyFont="1" applyAlignment="1">
      <alignment horizontal="right" vertical="center" wrapText="1"/>
    </xf>
  </cellXfs>
  <cellStyles count="4">
    <cellStyle name="Milliers" xfId="3" builtinId="3"/>
    <cellStyle name="Milliers 2" xfId="2" xr:uid="{E2B54675-A41F-42DF-8916-02E45D5E1A11}"/>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slove-adc\Documents\Subvention%20biodiversit&#233;\Tableaux\TableauxAnnexeV%20v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slove-adc\Documents\Subvention%20biodiversit&#233;\Tableaux\Mission%20Biodiv%20-%20D&#233;penses%20publiques%20am&#233;nagement%20du%20territoir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pensesBudg"/>
      <sheetName val="DépensesBudgLogementImmo"/>
      <sheetName val="DépensesBudgInfrastructure"/>
      <sheetName val="DépensesBudgTerritoire"/>
      <sheetName val="DP immo"/>
      <sheetName val="DP Transport"/>
      <sheetName val="DPFoncier"/>
      <sheetName val="DPPartTerr"/>
      <sheetName val="Feuil5"/>
      <sheetName val="Feuil6"/>
      <sheetName val="Feder"/>
      <sheetName val="Décote"/>
      <sheetName val="GrapheAdeme"/>
      <sheetName val="Tableau SGPi"/>
      <sheetName val="CotationInfr"/>
      <sheetName val="CompétencesColloc"/>
      <sheetName val="CotationFeder"/>
      <sheetName val="CotationLogement"/>
      <sheetName val="CotationFoncière"/>
      <sheetName val="CotationDépenseTerr"/>
      <sheetName val="TabRésumé"/>
      <sheetName val="Feuil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K2">
            <v>64300000</v>
          </cell>
        </row>
        <row r="5">
          <cell r="K5">
            <v>0</v>
          </cell>
        </row>
        <row r="6">
          <cell r="K6">
            <v>0</v>
          </cell>
        </row>
        <row r="7">
          <cell r="K7">
            <v>0</v>
          </cell>
        </row>
        <row r="8">
          <cell r="K8">
            <v>0</v>
          </cell>
        </row>
        <row r="9">
          <cell r="K9">
            <v>0</v>
          </cell>
        </row>
        <row r="11">
          <cell r="K11">
            <v>0</v>
          </cell>
        </row>
        <row r="12">
          <cell r="K12">
            <v>0</v>
          </cell>
        </row>
        <row r="14">
          <cell r="K14">
            <v>0</v>
          </cell>
        </row>
        <row r="15">
          <cell r="K15">
            <v>0</v>
          </cell>
        </row>
        <row r="16">
          <cell r="K16">
            <v>0</v>
          </cell>
        </row>
        <row r="17">
          <cell r="K17">
            <v>0</v>
          </cell>
        </row>
        <row r="18">
          <cell r="K18">
            <v>0</v>
          </cell>
        </row>
        <row r="19">
          <cell r="K19">
            <v>0</v>
          </cell>
        </row>
        <row r="20">
          <cell r="K20">
            <v>0</v>
          </cell>
        </row>
        <row r="21">
          <cell r="K21">
            <v>0</v>
          </cell>
        </row>
        <row r="23">
          <cell r="K23">
            <v>0</v>
          </cell>
        </row>
        <row r="24">
          <cell r="K24">
            <v>64300000</v>
          </cell>
        </row>
        <row r="25">
          <cell r="K25">
            <v>0</v>
          </cell>
        </row>
        <row r="58">
          <cell r="K58">
            <v>0</v>
          </cell>
        </row>
        <row r="61">
          <cell r="K61">
            <v>0</v>
          </cell>
        </row>
        <row r="62">
          <cell r="K62">
            <v>0</v>
          </cell>
        </row>
        <row r="64">
          <cell r="K64">
            <v>0</v>
          </cell>
        </row>
      </sheetData>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agrégé"/>
      <sheetName val="Feuil6"/>
      <sheetName val="Feuil1"/>
      <sheetName val="Feuil3"/>
      <sheetName val="PAPàscreener"/>
      <sheetName val="Feuil4"/>
    </sheetNames>
    <sheetDataSet>
      <sheetData sheetId="0"/>
      <sheetData sheetId="1"/>
      <sheetData sheetId="2">
        <row r="145">
          <cell r="E145">
            <v>1161650442</v>
          </cell>
          <cell r="H145">
            <v>0</v>
          </cell>
          <cell r="I145">
            <v>67200000</v>
          </cell>
          <cell r="K145">
            <v>0</v>
          </cell>
          <cell r="M145">
            <v>42448788</v>
          </cell>
        </row>
      </sheetData>
      <sheetData sheetId="3"/>
      <sheetData sheetId="4"/>
      <sheetData sheetId="5"/>
    </sheetDataSet>
  </externalBook>
</externalLink>
</file>

<file path=xl/theme/theme1.xml><?xml version="1.0" encoding="utf-8"?>
<a:theme xmlns:a="http://schemas.openxmlformats.org/drawingml/2006/main" name="Template IGF_seul">
  <a:themeElements>
    <a:clrScheme name="Palette IGF">
      <a:dk1>
        <a:sysClr val="windowText" lastClr="000000"/>
      </a:dk1>
      <a:lt1>
        <a:sysClr val="window" lastClr="FFFFFF"/>
      </a:lt1>
      <a:dk2>
        <a:srgbClr val="A5A5A5"/>
      </a:dk2>
      <a:lt2>
        <a:srgbClr val="EEECE1"/>
      </a:lt2>
      <a:accent1>
        <a:srgbClr val="096C41"/>
      </a:accent1>
      <a:accent2>
        <a:srgbClr val="737C24"/>
      </a:accent2>
      <a:accent3>
        <a:srgbClr val="D69A00"/>
      </a:accent3>
      <a:accent4>
        <a:srgbClr val="E17D18"/>
      </a:accent4>
      <a:accent5>
        <a:srgbClr val="9F0025"/>
      </a:accent5>
      <a:accent6>
        <a:srgbClr val="AE535C"/>
      </a:accent6>
      <a:hlink>
        <a:srgbClr val="096C41"/>
      </a:hlink>
      <a:folHlink>
        <a:srgbClr val="096C41"/>
      </a:folHlink>
    </a:clrScheme>
    <a:fontScheme name="Marianne">
      <a:majorFont>
        <a:latin typeface="Marianne"/>
        <a:ea typeface=""/>
        <a:cs typeface=""/>
      </a:majorFont>
      <a:minorFont>
        <a:latin typeface="Mariann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pPr>
      <a:bodyPr rtlCol="0" anchor="ctr">
        <a:normAutofit/>
      </a:bodyPr>
      <a:lstStyle>
        <a:defPPr algn="ctr">
          <a:defRPr sz="140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chemeClr val="accent3"/>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2024_TemplateIGF_macro.potm" id="{59884C3A-6089-4299-951D-20BD557E9495}" vid="{28B23D60-0611-4388-892D-EED61C96CDD6}"/>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5.%20Annexes/Annexe%20II%20-%20Secteur%20agricole_v21.docx"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FC4D-9666-468A-9900-44BB96BBFAE1}">
  <sheetPr>
    <tabColor rgb="FFFF0000"/>
  </sheetPr>
  <dimension ref="B1:X78"/>
  <sheetViews>
    <sheetView showGridLines="0" tabSelected="1" zoomScale="70" zoomScaleNormal="70" workbookViewId="0">
      <pane xSplit="2" ySplit="13" topLeftCell="C29" activePane="bottomRight" state="frozen"/>
      <selection pane="topRight" activeCell="C1" sqref="C1"/>
      <selection pane="bottomLeft" activeCell="A14" sqref="A14"/>
      <selection pane="bottomRight" activeCell="L43" sqref="L43"/>
    </sheetView>
  </sheetViews>
  <sheetFormatPr baseColWidth="10" defaultColWidth="11.5546875" defaultRowHeight="15.75" outlineLevelCol="1" x14ac:dyDescent="0.3"/>
  <cols>
    <col min="1" max="1" width="2.33203125" style="87" customWidth="1"/>
    <col min="2" max="2" width="3.5546875" style="87" customWidth="1"/>
    <col min="3" max="3" width="2.33203125" style="87" customWidth="1"/>
    <col min="4" max="4" width="40.21875" style="87" customWidth="1"/>
    <col min="5" max="5" width="13.109375" style="87" customWidth="1" outlineLevel="1"/>
    <col min="6" max="6" width="17.77734375" style="87" customWidth="1" outlineLevel="1"/>
    <col min="7" max="7" width="20.109375" style="87" customWidth="1" outlineLevel="1"/>
    <col min="8" max="9" width="17.77734375" style="87" customWidth="1" outlineLevel="1"/>
    <col min="10" max="10" width="2.5546875" style="87" customWidth="1" outlineLevel="1"/>
    <col min="11" max="11" width="15.88671875" style="87" customWidth="1" outlineLevel="1"/>
    <col min="12" max="12" width="17.33203125" style="87" customWidth="1" outlineLevel="1"/>
    <col min="13" max="13" width="13.109375" style="87" customWidth="1" outlineLevel="1"/>
    <col min="14" max="14" width="2.5546875" style="87" customWidth="1" outlineLevel="1"/>
    <col min="15" max="17" width="10.88671875" style="87" customWidth="1"/>
    <col min="18" max="16384" width="11.5546875" style="87"/>
  </cols>
  <sheetData>
    <row r="1" spans="2:24" x14ac:dyDescent="0.3">
      <c r="F1" s="140"/>
      <c r="I1" s="140"/>
      <c r="J1" s="140"/>
      <c r="K1" s="140"/>
      <c r="L1" s="140"/>
      <c r="M1" s="140"/>
      <c r="N1" s="140"/>
      <c r="O1" s="140"/>
      <c r="P1" s="140"/>
      <c r="Q1" s="140"/>
    </row>
    <row r="2" spans="2:24" x14ac:dyDescent="0.3">
      <c r="B2" s="303" t="s">
        <v>957</v>
      </c>
      <c r="C2" s="303"/>
      <c r="D2" s="304"/>
      <c r="E2" s="304"/>
      <c r="F2" s="305"/>
      <c r="G2" s="304"/>
      <c r="H2" s="304"/>
      <c r="I2" s="305"/>
      <c r="J2" s="305"/>
      <c r="K2" s="305"/>
      <c r="L2" s="305"/>
      <c r="M2" s="305"/>
      <c r="N2" s="305"/>
      <c r="O2" s="305"/>
      <c r="P2" s="305"/>
      <c r="Q2" s="305"/>
      <c r="R2" s="304"/>
      <c r="S2" s="304"/>
      <c r="T2" s="304"/>
      <c r="U2" s="304"/>
      <c r="V2" s="304"/>
      <c r="W2" s="304"/>
      <c r="X2" s="304"/>
    </row>
    <row r="3" spans="2:24" x14ac:dyDescent="0.3">
      <c r="F3" s="140"/>
      <c r="I3" s="140"/>
      <c r="J3" s="140"/>
      <c r="K3" s="140"/>
      <c r="L3" s="140"/>
      <c r="M3" s="140"/>
      <c r="N3" s="140"/>
      <c r="O3" s="140"/>
      <c r="P3" s="140"/>
      <c r="Q3" s="140"/>
    </row>
    <row r="4" spans="2:24" x14ac:dyDescent="0.3">
      <c r="B4" s="306">
        <v>0</v>
      </c>
      <c r="C4" s="87" t="s">
        <v>1</v>
      </c>
      <c r="D4" s="307" t="s">
        <v>949</v>
      </c>
      <c r="E4" s="308"/>
      <c r="F4" s="309"/>
      <c r="G4" s="308"/>
      <c r="H4" s="308"/>
      <c r="I4" s="309"/>
      <c r="J4" s="309"/>
      <c r="K4" s="309"/>
      <c r="L4" s="309"/>
      <c r="M4" s="309"/>
      <c r="N4" s="309"/>
      <c r="O4" s="309"/>
      <c r="P4" s="309"/>
      <c r="Q4" s="309"/>
      <c r="R4" s="308"/>
      <c r="S4" s="308"/>
      <c r="T4" s="308"/>
      <c r="U4" s="308"/>
      <c r="V4" s="308"/>
      <c r="W4" s="308"/>
      <c r="X4" s="308"/>
    </row>
    <row r="5" spans="2:24" x14ac:dyDescent="0.3">
      <c r="F5" s="140"/>
      <c r="I5" s="140"/>
      <c r="J5" s="140"/>
      <c r="K5" s="140"/>
      <c r="L5" s="140"/>
      <c r="M5" s="140"/>
      <c r="N5" s="140"/>
      <c r="O5" s="140"/>
      <c r="P5" s="140"/>
      <c r="Q5" s="140"/>
    </row>
    <row r="6" spans="2:24" s="310" customFormat="1" ht="47.25" x14ac:dyDescent="0.3">
      <c r="D6" s="378" t="s">
        <v>958</v>
      </c>
      <c r="E6" s="311" t="s">
        <v>464</v>
      </c>
      <c r="F6" s="311" t="s">
        <v>989</v>
      </c>
      <c r="G6" s="311" t="s">
        <v>962</v>
      </c>
      <c r="H6" s="312" t="s">
        <v>990</v>
      </c>
      <c r="I6" s="312" t="s">
        <v>955</v>
      </c>
      <c r="K6" s="311" t="s">
        <v>991</v>
      </c>
      <c r="L6" s="312" t="s">
        <v>985</v>
      </c>
      <c r="M6" s="312" t="s">
        <v>1024</v>
      </c>
      <c r="O6" s="311" t="s">
        <v>982</v>
      </c>
      <c r="P6" s="312" t="s">
        <v>983</v>
      </c>
      <c r="Q6" s="432" t="s">
        <v>984</v>
      </c>
    </row>
    <row r="7" spans="2:24" x14ac:dyDescent="0.3">
      <c r="D7" s="87" t="s">
        <v>948</v>
      </c>
      <c r="E7" s="313">
        <f>E37</f>
        <v>31429.965600000003</v>
      </c>
      <c r="F7" s="313">
        <f>F37</f>
        <v>8265.1589424117228</v>
      </c>
      <c r="G7" s="114">
        <f t="shared" ref="G7:G12" si="0">+F7/E7</f>
        <v>0.26297066460714552</v>
      </c>
      <c r="H7" s="313">
        <f>H37</f>
        <v>517.11211432773246</v>
      </c>
      <c r="I7" s="114">
        <f t="shared" ref="I7:I12" si="1">+H7/E7</f>
        <v>1.6452837426195986E-2</v>
      </c>
      <c r="K7" s="314">
        <f t="shared" ref="K7:K12" si="2">+F7/F$12</f>
        <v>0.40920267674598754</v>
      </c>
      <c r="L7" s="314">
        <f t="shared" ref="L7:L12" si="3">+H7/H$12</f>
        <v>3.1322648619738921E-2</v>
      </c>
      <c r="M7" s="314">
        <f t="shared" ref="M7:M12" si="4">+(F7+H7)/$E$12</f>
        <v>9.4940088592528518E-2</v>
      </c>
      <c r="O7" s="429">
        <f>+Agriculture!J5</f>
        <v>248</v>
      </c>
      <c r="P7" s="429">
        <f>+Agriculture!J6</f>
        <v>87</v>
      </c>
      <c r="Q7" s="433">
        <f t="shared" ref="Q7:Q11" si="5">+P7/O7</f>
        <v>0.35080645161290325</v>
      </c>
    </row>
    <row r="8" spans="2:24" x14ac:dyDescent="0.3">
      <c r="D8" s="87" t="s">
        <v>523</v>
      </c>
      <c r="E8" s="315">
        <f>E50</f>
        <v>2293.0997739404761</v>
      </c>
      <c r="F8" s="315">
        <f>F50</f>
        <v>122.68640000000001</v>
      </c>
      <c r="G8" s="114">
        <f t="shared" si="0"/>
        <v>5.3502425578794151E-2</v>
      </c>
      <c r="H8" s="315">
        <f>H50</f>
        <v>0</v>
      </c>
      <c r="I8" s="114">
        <f t="shared" si="1"/>
        <v>0</v>
      </c>
      <c r="K8" s="314">
        <f t="shared" si="2"/>
        <v>6.0741243610833474E-3</v>
      </c>
      <c r="L8" s="314">
        <f t="shared" si="3"/>
        <v>0</v>
      </c>
      <c r="M8" s="314">
        <f t="shared" si="4"/>
        <v>1.3262922095942263E-3</v>
      </c>
      <c r="O8" s="429">
        <f>+Forêt!H5</f>
        <v>50</v>
      </c>
      <c r="P8" s="429">
        <f>+Forêt!H6</f>
        <v>3</v>
      </c>
      <c r="Q8" s="433">
        <f t="shared" si="5"/>
        <v>0.06</v>
      </c>
    </row>
    <row r="9" spans="2:24" x14ac:dyDescent="0.3">
      <c r="D9" s="87" t="s">
        <v>950</v>
      </c>
      <c r="E9" s="315">
        <f>E60</f>
        <v>2419.8209250271429</v>
      </c>
      <c r="F9" s="315">
        <f t="shared" ref="F9:H9" si="6">F60</f>
        <v>737.90127700000005</v>
      </c>
      <c r="G9" s="114">
        <f t="shared" si="0"/>
        <v>0.30494044801754205</v>
      </c>
      <c r="H9" s="315">
        <f t="shared" si="6"/>
        <v>49.186456361138937</v>
      </c>
      <c r="I9" s="114">
        <f t="shared" si="1"/>
        <v>2.0326486085158229E-2</v>
      </c>
      <c r="K9" s="314">
        <f t="shared" si="2"/>
        <v>3.6533015254341245E-2</v>
      </c>
      <c r="L9" s="314">
        <f t="shared" si="3"/>
        <v>2.9793347453346505E-3</v>
      </c>
      <c r="M9" s="314">
        <f t="shared" si="4"/>
        <v>8.5087534480109955E-3</v>
      </c>
      <c r="O9" s="429">
        <f>+AffairesMaritimes!K5</f>
        <v>43</v>
      </c>
      <c r="P9" s="429">
        <f>+AffairesMaritimes!K6</f>
        <v>18</v>
      </c>
      <c r="Q9" s="433">
        <f t="shared" si="5"/>
        <v>0.41860465116279072</v>
      </c>
    </row>
    <row r="10" spans="2:24" x14ac:dyDescent="0.3">
      <c r="D10" s="87" t="s">
        <v>951</v>
      </c>
      <c r="E10" s="315">
        <f>E69</f>
        <v>34745.059913719997</v>
      </c>
      <c r="F10" s="315">
        <f t="shared" ref="F10:H10" si="7">F69</f>
        <v>2685.6930841999997</v>
      </c>
      <c r="G10" s="114">
        <f t="shared" si="0"/>
        <v>7.7297120536536576E-2</v>
      </c>
      <c r="H10" s="315">
        <f t="shared" si="7"/>
        <v>9585.1409627328576</v>
      </c>
      <c r="I10" s="114">
        <f t="shared" si="1"/>
        <v>0.27587061258593237</v>
      </c>
      <c r="K10" s="314">
        <f t="shared" si="2"/>
        <v>0.13296692860115131</v>
      </c>
      <c r="L10" s="314">
        <f t="shared" si="3"/>
        <v>0.58059363536021902</v>
      </c>
      <c r="M10" s="314">
        <f t="shared" si="4"/>
        <v>0.1326529395407367</v>
      </c>
      <c r="O10" s="429">
        <f>+Aménagement!H5</f>
        <v>300</v>
      </c>
      <c r="P10" s="429">
        <f>+Aménagement!H6</f>
        <v>105</v>
      </c>
      <c r="Q10" s="433">
        <f t="shared" si="5"/>
        <v>0.35</v>
      </c>
    </row>
    <row r="11" spans="2:24" x14ac:dyDescent="0.3">
      <c r="D11" s="87" t="s">
        <v>959</v>
      </c>
      <c r="E11" s="315">
        <f>E78</f>
        <v>21615.349149000001</v>
      </c>
      <c r="F11" s="315">
        <f t="shared" ref="F11:H11" si="8">F78</f>
        <v>8386.7638079999997</v>
      </c>
      <c r="G11" s="114">
        <f t="shared" si="0"/>
        <v>0.38800038575310264</v>
      </c>
      <c r="H11" s="315">
        <f t="shared" si="8"/>
        <v>6357.7682480000003</v>
      </c>
      <c r="I11" s="114">
        <f t="shared" si="1"/>
        <v>0.29413210974175413</v>
      </c>
      <c r="K11" s="314">
        <f t="shared" si="2"/>
        <v>0.4152232550374364</v>
      </c>
      <c r="L11" s="314">
        <f t="shared" si="3"/>
        <v>0.38510438127470742</v>
      </c>
      <c r="M11" s="314">
        <f t="shared" si="4"/>
        <v>0.15939466803154334</v>
      </c>
      <c r="O11" s="429">
        <f>+Énergie!I5</f>
        <v>95</v>
      </c>
      <c r="P11" s="429">
        <f>+Énergie!I6</f>
        <v>39</v>
      </c>
      <c r="Q11" s="433">
        <f t="shared" si="5"/>
        <v>0.41052631578947368</v>
      </c>
    </row>
    <row r="12" spans="2:24" x14ac:dyDescent="0.3">
      <c r="D12" s="6" t="s">
        <v>0</v>
      </c>
      <c r="E12" s="259">
        <f>SUM(E7:E11)</f>
        <v>92503.295361687618</v>
      </c>
      <c r="F12" s="259">
        <f>SUM(F7:F11)</f>
        <v>20198.203511611726</v>
      </c>
      <c r="G12" s="260">
        <f t="shared" si="0"/>
        <v>0.2183511780054625</v>
      </c>
      <c r="H12" s="259">
        <f>SUM(H7:H11)</f>
        <v>16509.20778142173</v>
      </c>
      <c r="I12" s="260">
        <f t="shared" si="1"/>
        <v>0.17847156381695134</v>
      </c>
      <c r="K12" s="316">
        <f t="shared" si="2"/>
        <v>1</v>
      </c>
      <c r="L12" s="316">
        <f t="shared" si="3"/>
        <v>1</v>
      </c>
      <c r="M12" s="316">
        <f t="shared" si="4"/>
        <v>0.39682274182241378</v>
      </c>
      <c r="O12" s="431">
        <f t="shared" ref="O12:P12" si="9">SUM(O7:O11)</f>
        <v>736</v>
      </c>
      <c r="P12" s="431">
        <f t="shared" si="9"/>
        <v>252</v>
      </c>
      <c r="Q12" s="434">
        <f t="shared" ref="Q12" si="10">+P12/$O$12</f>
        <v>0.34239130434782611</v>
      </c>
    </row>
    <row r="15" spans="2:24" s="310" customFormat="1" ht="47.25" x14ac:dyDescent="0.3">
      <c r="D15" s="378" t="s">
        <v>981</v>
      </c>
      <c r="E15" s="311" t="s">
        <v>464</v>
      </c>
      <c r="F15" s="311" t="s">
        <v>963</v>
      </c>
      <c r="G15" s="311" t="s">
        <v>962</v>
      </c>
      <c r="H15" s="312" t="s">
        <v>990</v>
      </c>
      <c r="I15" s="312" t="s">
        <v>955</v>
      </c>
      <c r="K15" s="311" t="s">
        <v>991</v>
      </c>
      <c r="L15" s="312" t="s">
        <v>985</v>
      </c>
      <c r="M15" s="312" t="s">
        <v>1024</v>
      </c>
      <c r="O15" s="87"/>
      <c r="P15" s="87"/>
      <c r="Q15" s="87"/>
    </row>
    <row r="16" spans="2:24" s="321" customFormat="1" x14ac:dyDescent="0.3">
      <c r="D16" s="271" t="s">
        <v>6</v>
      </c>
      <c r="E16" s="322">
        <f>+E30+E43+E56+E66</f>
        <v>10482.514357696191</v>
      </c>
      <c r="F16" s="322">
        <f>+F30+F43+F56+F66</f>
        <v>6255.0629687394548</v>
      </c>
      <c r="G16" s="323">
        <f t="shared" ref="G16:G23" si="11">+F16/E16</f>
        <v>0.59671399010744308</v>
      </c>
      <c r="H16" s="322">
        <f>+H30+H43+H56+H66</f>
        <v>719.40660531773096</v>
      </c>
      <c r="I16" s="323">
        <f t="shared" ref="I16:I23" si="12">+H16/E16</f>
        <v>6.8629202953540205E-2</v>
      </c>
      <c r="K16" s="314">
        <f t="shared" ref="K16:K23" si="13">+F16/F$23</f>
        <v>0.30968412438975024</v>
      </c>
      <c r="L16" s="314">
        <f t="shared" ref="L16:L23" si="14">+H16/H$23</f>
        <v>4.357608280436686E-2</v>
      </c>
      <c r="M16" s="314">
        <f t="shared" ref="M16:M17" si="15">+(F16+H16)/E16</f>
        <v>0.66534319306098333</v>
      </c>
      <c r="O16" s="87"/>
      <c r="P16" s="87"/>
      <c r="Q16" s="87"/>
    </row>
    <row r="17" spans="2:24" s="321" customFormat="1" x14ac:dyDescent="0.3">
      <c r="D17" s="137" t="s">
        <v>4</v>
      </c>
      <c r="E17" s="322">
        <f>+E31+E44+E57+E67+E75</f>
        <v>40689.181224884283</v>
      </c>
      <c r="F17" s="322">
        <f>+F31+F44+F57+F67+F75</f>
        <v>4652.026009199999</v>
      </c>
      <c r="G17" s="323">
        <f t="shared" si="11"/>
        <v>0.11433078447779035</v>
      </c>
      <c r="H17" s="322">
        <f>+H31+H44+H57+H67+H75</f>
        <v>11836.643620646853</v>
      </c>
      <c r="I17" s="323">
        <f t="shared" si="12"/>
        <v>0.29090395196765267</v>
      </c>
      <c r="K17" s="314">
        <f t="shared" si="13"/>
        <v>0.23031880070549843</v>
      </c>
      <c r="L17" s="314">
        <f t="shared" si="14"/>
        <v>0.71697223618246275</v>
      </c>
      <c r="M17" s="314">
        <f t="shared" si="15"/>
        <v>0.40523473644544306</v>
      </c>
      <c r="O17" s="87"/>
      <c r="P17" s="87"/>
      <c r="Q17" s="87"/>
    </row>
    <row r="18" spans="2:24" s="321" customFormat="1" x14ac:dyDescent="0.3">
      <c r="D18" s="137" t="s">
        <v>36</v>
      </c>
      <c r="E18" s="322">
        <f>+E32+E45+E58+E68+E76</f>
        <v>26074.1</v>
      </c>
      <c r="F18" s="322">
        <f>+F32+F45+F58+F68+F76</f>
        <v>8754.4638349591296</v>
      </c>
      <c r="G18" s="323">
        <f t="shared" si="11"/>
        <v>0.33575325073383666</v>
      </c>
      <c r="H18" s="322">
        <f>+H32+H45+H58+H68+H76</f>
        <v>3951.0821018777151</v>
      </c>
      <c r="I18" s="323">
        <f t="shared" si="12"/>
        <v>0.1515328276672144</v>
      </c>
      <c r="K18" s="314">
        <f t="shared" si="13"/>
        <v>0.43342784569559795</v>
      </c>
      <c r="L18" s="314">
        <f t="shared" si="14"/>
        <v>0.2393259661026241</v>
      </c>
      <c r="M18" s="314">
        <f t="shared" ref="M18:M23" si="16">+(F18+H18)/E18</f>
        <v>0.48728607840105104</v>
      </c>
      <c r="O18" s="87"/>
      <c r="P18" s="87"/>
      <c r="Q18" s="87"/>
    </row>
    <row r="19" spans="2:24" s="321" customFormat="1" x14ac:dyDescent="0.3">
      <c r="D19" s="137" t="s">
        <v>455</v>
      </c>
      <c r="E19" s="322">
        <f>+E33+E46+E59+E77</f>
        <v>1041.5894940000001</v>
      </c>
      <c r="F19" s="322">
        <f>+F33+F46+F59+F77</f>
        <v>466</v>
      </c>
      <c r="G19" s="323">
        <f t="shared" si="11"/>
        <v>0.44739314546120024</v>
      </c>
      <c r="H19" s="322">
        <f>+H33+H46+H59+H77</f>
        <v>0</v>
      </c>
      <c r="I19" s="323">
        <f t="shared" si="12"/>
        <v>0</v>
      </c>
      <c r="K19" s="314">
        <f t="shared" si="13"/>
        <v>2.3071358783572103E-2</v>
      </c>
      <c r="L19" s="314">
        <f t="shared" si="14"/>
        <v>0</v>
      </c>
      <c r="M19" s="314">
        <f t="shared" si="16"/>
        <v>0.44739314546120024</v>
      </c>
      <c r="O19" s="87"/>
      <c r="P19" s="87"/>
      <c r="Q19" s="87"/>
    </row>
    <row r="20" spans="2:24" s="321" customFormat="1" x14ac:dyDescent="0.3">
      <c r="D20" s="137" t="s">
        <v>454</v>
      </c>
      <c r="E20" s="322">
        <f t="shared" ref="E20:F22" si="17">+E34+E47</f>
        <v>327.81028510714287</v>
      </c>
      <c r="F20" s="322">
        <f t="shared" si="17"/>
        <v>70.650698713139803</v>
      </c>
      <c r="G20" s="323">
        <f t="shared" si="11"/>
        <v>0.21552313006301202</v>
      </c>
      <c r="H20" s="322">
        <f>+H34+H47</f>
        <v>2.0754535794288493</v>
      </c>
      <c r="I20" s="323">
        <f t="shared" si="12"/>
        <v>6.3312643736925444E-3</v>
      </c>
      <c r="K20" s="314">
        <f t="shared" si="13"/>
        <v>3.4978704255813398E-3</v>
      </c>
      <c r="L20" s="314">
        <f t="shared" si="14"/>
        <v>1.2571491054612656E-4</v>
      </c>
      <c r="M20" s="314">
        <f t="shared" si="16"/>
        <v>0.22185439443670457</v>
      </c>
      <c r="O20" s="87"/>
      <c r="P20" s="87"/>
      <c r="Q20" s="87"/>
    </row>
    <row r="21" spans="2:24" s="321" customFormat="1" x14ac:dyDescent="0.3">
      <c r="D21" s="137" t="s">
        <v>453</v>
      </c>
      <c r="E21" s="322">
        <f t="shared" si="17"/>
        <v>8987</v>
      </c>
      <c r="F21" s="322">
        <f t="shared" si="17"/>
        <v>0</v>
      </c>
      <c r="G21" s="323">
        <f t="shared" si="11"/>
        <v>0</v>
      </c>
      <c r="H21" s="322">
        <f>+H35+H48</f>
        <v>0</v>
      </c>
      <c r="I21" s="323">
        <f t="shared" si="12"/>
        <v>0</v>
      </c>
      <c r="K21" s="314">
        <f t="shared" si="13"/>
        <v>0</v>
      </c>
      <c r="L21" s="314">
        <f t="shared" si="14"/>
        <v>0</v>
      </c>
      <c r="M21" s="314">
        <f t="shared" si="16"/>
        <v>0</v>
      </c>
      <c r="O21" s="87"/>
      <c r="P21" s="87"/>
      <c r="Q21" s="87"/>
    </row>
    <row r="22" spans="2:24" s="321" customFormat="1" x14ac:dyDescent="0.3">
      <c r="D22" s="137" t="s">
        <v>452</v>
      </c>
      <c r="E22" s="322">
        <f t="shared" si="17"/>
        <v>4901.1000000000004</v>
      </c>
      <c r="F22" s="322">
        <f t="shared" si="17"/>
        <v>0</v>
      </c>
      <c r="G22" s="323">
        <f t="shared" si="11"/>
        <v>0</v>
      </c>
      <c r="H22" s="322">
        <f>+H36+H49</f>
        <v>0</v>
      </c>
      <c r="I22" s="323">
        <f t="shared" si="12"/>
        <v>0</v>
      </c>
      <c r="K22" s="314">
        <f t="shared" si="13"/>
        <v>0</v>
      </c>
      <c r="L22" s="314">
        <f t="shared" si="14"/>
        <v>0</v>
      </c>
      <c r="M22" s="314">
        <f t="shared" si="16"/>
        <v>0</v>
      </c>
      <c r="O22" s="87"/>
      <c r="P22" s="87"/>
      <c r="Q22" s="87"/>
    </row>
    <row r="23" spans="2:24" x14ac:dyDescent="0.3">
      <c r="D23" s="6" t="s">
        <v>0</v>
      </c>
      <c r="E23" s="259">
        <f t="shared" ref="E23:H23" si="18">SUM(E16:E22)</f>
        <v>92503.295361687618</v>
      </c>
      <c r="F23" s="259">
        <f t="shared" si="18"/>
        <v>20198.203511611722</v>
      </c>
      <c r="G23" s="260">
        <f t="shared" si="11"/>
        <v>0.21835117800546244</v>
      </c>
      <c r="H23" s="259">
        <f t="shared" si="18"/>
        <v>16509.20778142173</v>
      </c>
      <c r="I23" s="260">
        <f t="shared" si="12"/>
        <v>0.17847156381695134</v>
      </c>
      <c r="K23" s="316">
        <f t="shared" si="13"/>
        <v>1</v>
      </c>
      <c r="L23" s="316">
        <f t="shared" si="14"/>
        <v>1</v>
      </c>
      <c r="M23" s="316">
        <f t="shared" si="16"/>
        <v>0.39682274182241378</v>
      </c>
    </row>
    <row r="27" spans="2:24" x14ac:dyDescent="0.3">
      <c r="B27" s="306">
        <v>1</v>
      </c>
      <c r="C27" s="87" t="s">
        <v>1</v>
      </c>
      <c r="D27" s="307" t="s">
        <v>948</v>
      </c>
      <c r="E27" s="308"/>
      <c r="F27" s="309"/>
      <c r="G27" s="308"/>
      <c r="H27" s="308"/>
      <c r="I27" s="309"/>
      <c r="J27" s="309"/>
      <c r="K27" s="309"/>
      <c r="L27" s="309"/>
      <c r="M27" s="309"/>
      <c r="N27" s="309"/>
      <c r="O27" s="309"/>
      <c r="P27" s="309"/>
      <c r="Q27" s="309"/>
      <c r="R27" s="308"/>
      <c r="S27" s="308"/>
      <c r="T27" s="308"/>
      <c r="U27" s="308"/>
      <c r="V27" s="308"/>
      <c r="W27" s="308"/>
      <c r="X27" s="308"/>
    </row>
    <row r="28" spans="2:24" x14ac:dyDescent="0.3">
      <c r="D28" s="317"/>
      <c r="E28" s="317"/>
      <c r="F28" s="318"/>
      <c r="G28" s="319"/>
      <c r="H28" s="319"/>
      <c r="I28" s="319"/>
      <c r="J28" s="319"/>
      <c r="K28" s="319"/>
      <c r="L28" s="319"/>
      <c r="M28" s="319"/>
      <c r="N28" s="319"/>
      <c r="O28" s="319"/>
      <c r="P28" s="319"/>
      <c r="Q28" s="319"/>
    </row>
    <row r="29" spans="2:24" ht="31.5" x14ac:dyDescent="0.3">
      <c r="D29" s="320"/>
      <c r="E29" s="311" t="s">
        <v>464</v>
      </c>
      <c r="F29" s="311" t="s">
        <v>989</v>
      </c>
      <c r="G29" s="311" t="s">
        <v>1022</v>
      </c>
      <c r="H29" s="312" t="s">
        <v>990</v>
      </c>
      <c r="I29" s="312" t="s">
        <v>955</v>
      </c>
    </row>
    <row r="30" spans="2:24" s="321" customFormat="1" x14ac:dyDescent="0.3">
      <c r="D30" s="271" t="s">
        <v>6</v>
      </c>
      <c r="E30" s="322">
        <f>Agriculture!E329</f>
        <v>9076.0300000000007</v>
      </c>
      <c r="F30" s="322">
        <f>Agriculture!F329</f>
        <v>6255.0629687394548</v>
      </c>
      <c r="G30" s="323">
        <f>Agriculture!G329</f>
        <v>0.68918491551255934</v>
      </c>
      <c r="H30" s="322">
        <f>Agriculture!H329</f>
        <v>433.67580687058819</v>
      </c>
      <c r="I30" s="323">
        <f>Agriculture!I329</f>
        <v>4.7782544446259893E-2</v>
      </c>
    </row>
    <row r="31" spans="2:24" s="321" customFormat="1" x14ac:dyDescent="0.3">
      <c r="D31" s="137" t="s">
        <v>4</v>
      </c>
      <c r="E31" s="322">
        <f>Agriculture!E330</f>
        <v>5619.3355999999994</v>
      </c>
      <c r="F31" s="322">
        <f>Agriculture!F330</f>
        <v>236.38144</v>
      </c>
      <c r="G31" s="323">
        <f>Agriculture!G330</f>
        <v>4.206572748564795E-2</v>
      </c>
      <c r="H31" s="322">
        <f>Agriculture!H330</f>
        <v>0.37875200000000042</v>
      </c>
      <c r="I31" s="323">
        <f>Agriculture!I330</f>
        <v>6.7401562561951355E-5</v>
      </c>
    </row>
    <row r="32" spans="2:24" s="321" customFormat="1" x14ac:dyDescent="0.3">
      <c r="D32" s="137" t="s">
        <v>36</v>
      </c>
      <c r="E32" s="322">
        <f>Agriculture!E331</f>
        <v>2152</v>
      </c>
      <c r="F32" s="322">
        <f>Agriculture!F331</f>
        <v>1237.0638349591286</v>
      </c>
      <c r="G32" s="323">
        <f>Agriculture!G331</f>
        <v>0.57484378947914894</v>
      </c>
      <c r="H32" s="322">
        <f>Agriculture!H331</f>
        <v>80.982101877715394</v>
      </c>
      <c r="I32" s="323">
        <f>Agriculture!I331</f>
        <v>3.7631088233139126E-2</v>
      </c>
    </row>
    <row r="33" spans="2:24" s="321" customFormat="1" x14ac:dyDescent="0.3">
      <c r="D33" s="137" t="s">
        <v>455</v>
      </c>
      <c r="E33" s="322">
        <f>Agriculture!E332</f>
        <v>466</v>
      </c>
      <c r="F33" s="322">
        <f>Agriculture!F332</f>
        <v>466</v>
      </c>
      <c r="G33" s="323">
        <f>Agriculture!G332</f>
        <v>1</v>
      </c>
      <c r="H33" s="322">
        <f>Agriculture!H332</f>
        <v>0</v>
      </c>
      <c r="I33" s="323">
        <f>Agriculture!I332</f>
        <v>0</v>
      </c>
    </row>
    <row r="34" spans="2:24" s="321" customFormat="1" x14ac:dyDescent="0.3">
      <c r="D34" s="137" t="s">
        <v>454</v>
      </c>
      <c r="E34" s="322">
        <f>Agriculture!E333</f>
        <v>313.5</v>
      </c>
      <c r="F34" s="322">
        <f>Agriculture!F333</f>
        <v>70.650698713139803</v>
      </c>
      <c r="G34" s="323">
        <f>Agriculture!G333</f>
        <v>0.22536108042468836</v>
      </c>
      <c r="H34" s="322">
        <f>Agriculture!H333</f>
        <v>2.0754535794288493</v>
      </c>
      <c r="I34" s="323">
        <f>Agriculture!I333</f>
        <v>6.6202666010489611E-3</v>
      </c>
    </row>
    <row r="35" spans="2:24" s="321" customFormat="1" x14ac:dyDescent="0.3">
      <c r="D35" s="137" t="s">
        <v>453</v>
      </c>
      <c r="E35" s="322">
        <f>Agriculture!E334</f>
        <v>8912</v>
      </c>
      <c r="F35" s="322">
        <f>Agriculture!F334</f>
        <v>0</v>
      </c>
      <c r="G35" s="323">
        <f>Agriculture!G334</f>
        <v>0</v>
      </c>
      <c r="H35" s="322">
        <f>Agriculture!H334</f>
        <v>0</v>
      </c>
      <c r="I35" s="323">
        <f>Agriculture!I334</f>
        <v>0</v>
      </c>
    </row>
    <row r="36" spans="2:24" s="321" customFormat="1" x14ac:dyDescent="0.3">
      <c r="D36" s="137" t="s">
        <v>452</v>
      </c>
      <c r="E36" s="322">
        <f>Agriculture!E335</f>
        <v>4891.1000000000004</v>
      </c>
      <c r="F36" s="322">
        <f>Agriculture!F335</f>
        <v>0</v>
      </c>
      <c r="G36" s="323">
        <f>Agriculture!G335</f>
        <v>0</v>
      </c>
      <c r="H36" s="322">
        <f>Agriculture!H335</f>
        <v>0</v>
      </c>
      <c r="I36" s="323">
        <f>Agriculture!I335</f>
        <v>0</v>
      </c>
    </row>
    <row r="37" spans="2:24" x14ac:dyDescent="0.3">
      <c r="D37" s="6" t="s">
        <v>0</v>
      </c>
      <c r="E37" s="259">
        <f>Agriculture!E336</f>
        <v>31429.965600000003</v>
      </c>
      <c r="F37" s="259">
        <f>Agriculture!F336</f>
        <v>8265.1589424117228</v>
      </c>
      <c r="G37" s="260">
        <f>Agriculture!G336</f>
        <v>0.26297066460714552</v>
      </c>
      <c r="H37" s="259">
        <f>Agriculture!H336</f>
        <v>517.11211432773246</v>
      </c>
      <c r="I37" s="260">
        <f>Agriculture!I336</f>
        <v>1.6452837426195986E-2</v>
      </c>
    </row>
    <row r="40" spans="2:24" x14ac:dyDescent="0.3">
      <c r="B40" s="306">
        <v>2</v>
      </c>
      <c r="C40" s="87" t="s">
        <v>1</v>
      </c>
      <c r="D40" s="307" t="s">
        <v>523</v>
      </c>
      <c r="E40" s="308"/>
      <c r="F40" s="309"/>
      <c r="G40" s="308"/>
      <c r="H40" s="308"/>
      <c r="I40" s="309"/>
      <c r="J40" s="309"/>
      <c r="K40" s="309"/>
      <c r="L40" s="309"/>
      <c r="M40" s="309"/>
      <c r="N40" s="309"/>
      <c r="O40" s="309"/>
      <c r="P40" s="309"/>
      <c r="Q40" s="309"/>
      <c r="R40" s="308"/>
      <c r="S40" s="308"/>
      <c r="T40" s="308"/>
      <c r="U40" s="308"/>
      <c r="V40" s="308"/>
      <c r="W40" s="308"/>
      <c r="X40" s="308"/>
    </row>
    <row r="42" spans="2:24" s="324" customFormat="1" ht="31.5" x14ac:dyDescent="0.3">
      <c r="D42" s="325"/>
      <c r="E42" s="311" t="s">
        <v>464</v>
      </c>
      <c r="F42" s="311" t="s">
        <v>989</v>
      </c>
      <c r="G42" s="311" t="s">
        <v>1022</v>
      </c>
      <c r="H42" s="312" t="s">
        <v>990</v>
      </c>
      <c r="I42" s="312" t="s">
        <v>955</v>
      </c>
    </row>
    <row r="43" spans="2:24" x14ac:dyDescent="0.3">
      <c r="D43" s="65" t="s">
        <v>6</v>
      </c>
      <c r="E43" s="315">
        <f>Forêt!E94</f>
        <v>41.030070833333333</v>
      </c>
      <c r="F43" s="315">
        <f>Forêt!F94</f>
        <v>0</v>
      </c>
      <c r="G43" s="114">
        <f>Forêt!G94</f>
        <v>0</v>
      </c>
      <c r="H43" s="326">
        <f>Forêt!I94</f>
        <v>0</v>
      </c>
      <c r="I43" s="114">
        <f>Forêt!J94</f>
        <v>0</v>
      </c>
    </row>
    <row r="44" spans="2:24" x14ac:dyDescent="0.3">
      <c r="D44" s="42" t="s">
        <v>4</v>
      </c>
      <c r="E44" s="315">
        <f>Forêt!E95</f>
        <v>764.68941799999993</v>
      </c>
      <c r="F44" s="315">
        <f>Forêt!F95</f>
        <v>9.6864000000000008</v>
      </c>
      <c r="G44" s="114">
        <f>Forêt!G95</f>
        <v>1.2667103495866607E-2</v>
      </c>
      <c r="H44" s="326">
        <f>Forêt!I95</f>
        <v>0</v>
      </c>
      <c r="I44" s="114">
        <f>Forêt!J95</f>
        <v>0</v>
      </c>
    </row>
    <row r="45" spans="2:24" x14ac:dyDescent="0.3">
      <c r="D45" s="42" t="s">
        <v>36</v>
      </c>
      <c r="E45" s="315">
        <f>Forêt!E96</f>
        <v>1375</v>
      </c>
      <c r="F45" s="315">
        <f>Forêt!F96</f>
        <v>113</v>
      </c>
      <c r="G45" s="114">
        <f>Forêt!G96</f>
        <v>8.2181818181818175E-2</v>
      </c>
      <c r="H45" s="326">
        <f>Forêt!I96</f>
        <v>0</v>
      </c>
      <c r="I45" s="114">
        <f>Forêt!J96</f>
        <v>0</v>
      </c>
    </row>
    <row r="46" spans="2:24" x14ac:dyDescent="0.3">
      <c r="D46" s="42" t="s">
        <v>455</v>
      </c>
      <c r="E46" s="315">
        <f>Forêt!E97</f>
        <v>13.07</v>
      </c>
      <c r="F46" s="315">
        <f>Forêt!F97</f>
        <v>0</v>
      </c>
      <c r="G46" s="114">
        <f>Forêt!G97</f>
        <v>0</v>
      </c>
      <c r="H46" s="326">
        <f>Forêt!I97</f>
        <v>0</v>
      </c>
      <c r="I46" s="114">
        <f>Forêt!J97</f>
        <v>0</v>
      </c>
    </row>
    <row r="47" spans="2:24" s="310" customFormat="1" x14ac:dyDescent="0.3">
      <c r="D47" s="42" t="s">
        <v>454</v>
      </c>
      <c r="E47" s="327">
        <f>Forêt!E98</f>
        <v>14.310285107142859</v>
      </c>
      <c r="F47" s="327">
        <f>Forêt!F98</f>
        <v>0</v>
      </c>
      <c r="G47" s="328">
        <f>Forêt!G98</f>
        <v>0</v>
      </c>
      <c r="H47" s="329">
        <f>Forêt!I98</f>
        <v>0</v>
      </c>
      <c r="I47" s="328">
        <f>Forêt!J98</f>
        <v>0</v>
      </c>
    </row>
    <row r="48" spans="2:24" x14ac:dyDescent="0.3">
      <c r="D48" s="42" t="s">
        <v>453</v>
      </c>
      <c r="E48" s="315">
        <f>Forêt!E99</f>
        <v>75</v>
      </c>
      <c r="F48" s="315">
        <f>Forêt!F99</f>
        <v>0</v>
      </c>
      <c r="G48" s="114">
        <f>Forêt!G99</f>
        <v>0</v>
      </c>
      <c r="H48" s="326">
        <f>Forêt!I99</f>
        <v>0</v>
      </c>
      <c r="I48" s="114">
        <f>Forêt!J99</f>
        <v>0</v>
      </c>
    </row>
    <row r="49" spans="2:24" x14ac:dyDescent="0.3">
      <c r="D49" s="42" t="s">
        <v>452</v>
      </c>
      <c r="E49" s="315">
        <f>Forêt!E100</f>
        <v>10</v>
      </c>
      <c r="F49" s="315">
        <f>Forêt!F100</f>
        <v>0</v>
      </c>
      <c r="G49" s="114">
        <f>Forêt!G100</f>
        <v>0</v>
      </c>
      <c r="H49" s="326">
        <f>Forêt!I100</f>
        <v>0</v>
      </c>
      <c r="I49" s="114">
        <f>Forêt!J100</f>
        <v>0</v>
      </c>
    </row>
    <row r="50" spans="2:24" x14ac:dyDescent="0.3">
      <c r="D50" s="6" t="s">
        <v>0</v>
      </c>
      <c r="E50" s="259">
        <f>Forêt!E101</f>
        <v>2293.0997739404761</v>
      </c>
      <c r="F50" s="259">
        <f>Forêt!F101</f>
        <v>122.68640000000001</v>
      </c>
      <c r="G50" s="260">
        <f>Forêt!G101</f>
        <v>5.3502425578794151E-2</v>
      </c>
      <c r="H50" s="330">
        <f>Forêt!I101</f>
        <v>0</v>
      </c>
      <c r="I50" s="260">
        <f>Forêt!J101</f>
        <v>0</v>
      </c>
    </row>
    <row r="53" spans="2:24" x14ac:dyDescent="0.3">
      <c r="B53" s="306">
        <v>3</v>
      </c>
      <c r="C53" s="87" t="s">
        <v>1</v>
      </c>
      <c r="D53" s="307" t="s">
        <v>950</v>
      </c>
      <c r="E53" s="308"/>
      <c r="F53" s="309"/>
      <c r="G53" s="308"/>
      <c r="H53" s="308"/>
      <c r="I53" s="309"/>
      <c r="J53" s="309"/>
      <c r="K53" s="309"/>
      <c r="L53" s="309"/>
      <c r="M53" s="309"/>
      <c r="N53" s="309"/>
      <c r="O53" s="309"/>
      <c r="P53" s="309"/>
      <c r="Q53" s="309"/>
      <c r="R53" s="308"/>
      <c r="S53" s="308"/>
      <c r="T53" s="308"/>
      <c r="U53" s="308"/>
      <c r="V53" s="308"/>
      <c r="W53" s="308"/>
      <c r="X53" s="308"/>
    </row>
    <row r="54" spans="2:24" x14ac:dyDescent="0.3">
      <c r="D54" s="324"/>
      <c r="E54" s="324"/>
      <c r="F54" s="324"/>
      <c r="G54" s="324"/>
      <c r="H54" s="324"/>
      <c r="I54" s="324"/>
    </row>
    <row r="55" spans="2:24" s="331" customFormat="1" ht="31.5" x14ac:dyDescent="0.35">
      <c r="D55" s="332"/>
      <c r="E55" s="311" t="s">
        <v>464</v>
      </c>
      <c r="F55" s="311" t="s">
        <v>989</v>
      </c>
      <c r="G55" s="311" t="s">
        <v>1022</v>
      </c>
      <c r="H55" s="312" t="s">
        <v>990</v>
      </c>
      <c r="I55" s="312" t="s">
        <v>955</v>
      </c>
    </row>
    <row r="56" spans="2:24" s="321" customFormat="1" x14ac:dyDescent="0.3">
      <c r="D56" s="271" t="s">
        <v>6</v>
      </c>
      <c r="E56" s="322">
        <f>AffairesMaritimes!H76</f>
        <v>69.684828142857143</v>
      </c>
      <c r="F56" s="322">
        <f>AffairesMaritimes!I76</f>
        <v>0</v>
      </c>
      <c r="G56" s="323">
        <f>AffairesMaritimes!J76</f>
        <v>0</v>
      </c>
      <c r="H56" s="322">
        <f>AffairesMaritimes!L76</f>
        <v>30.906081714285712</v>
      </c>
      <c r="I56" s="323">
        <f>AffairesMaritimes!M76</f>
        <v>0.44351234749301249</v>
      </c>
    </row>
    <row r="57" spans="2:24" s="321" customFormat="1" x14ac:dyDescent="0.3">
      <c r="D57" s="137" t="s">
        <v>4</v>
      </c>
      <c r="E57" s="322">
        <f>AffairesMaritimes!H77</f>
        <v>962.61660288428573</v>
      </c>
      <c r="F57" s="322">
        <f>AffairesMaritimes!I77</f>
        <v>1.9012770000000001</v>
      </c>
      <c r="G57" s="323">
        <f>AffairesMaritimes!J77</f>
        <v>1.9751134504674122E-3</v>
      </c>
      <c r="H57" s="322">
        <f>AffairesMaritimes!L77</f>
        <v>13.280374646853224</v>
      </c>
      <c r="I57" s="323">
        <f>AffairesMaritimes!M77</f>
        <v>1.3796120498089551E-2</v>
      </c>
    </row>
    <row r="58" spans="2:24" s="321" customFormat="1" x14ac:dyDescent="0.3">
      <c r="D58" s="137" t="s">
        <v>3</v>
      </c>
      <c r="E58" s="322">
        <f>AffairesMaritimes!H78</f>
        <v>960</v>
      </c>
      <c r="F58" s="322">
        <f>AffairesMaritimes!I78</f>
        <v>736</v>
      </c>
      <c r="G58" s="323">
        <f>AffairesMaritimes!J78</f>
        <v>0.76666666666666672</v>
      </c>
      <c r="H58" s="322">
        <f>AffairesMaritimes!L78</f>
        <v>5</v>
      </c>
      <c r="I58" s="323">
        <f>AffairesMaritimes!M78</f>
        <v>5.208333333333333E-3</v>
      </c>
    </row>
    <row r="59" spans="2:24" s="321" customFormat="1" x14ac:dyDescent="0.3">
      <c r="D59" s="137" t="s">
        <v>2</v>
      </c>
      <c r="E59" s="322">
        <f>AffairesMaritimes!H79</f>
        <v>427.51949400000001</v>
      </c>
      <c r="F59" s="322">
        <f>AffairesMaritimes!I79</f>
        <v>0</v>
      </c>
      <c r="G59" s="323">
        <f>AffairesMaritimes!J79</f>
        <v>0</v>
      </c>
      <c r="H59" s="322">
        <f>AffairesMaritimes!L79</f>
        <v>0</v>
      </c>
      <c r="I59" s="323">
        <f>AffairesMaritimes!M79</f>
        <v>0</v>
      </c>
    </row>
    <row r="60" spans="2:24" x14ac:dyDescent="0.3">
      <c r="D60" s="6" t="s">
        <v>0</v>
      </c>
      <c r="E60" s="259">
        <f>AffairesMaritimes!H80</f>
        <v>2419.8209250271429</v>
      </c>
      <c r="F60" s="259">
        <f>AffairesMaritimes!I80</f>
        <v>737.90127700000005</v>
      </c>
      <c r="G60" s="260">
        <f>AffairesMaritimes!J80</f>
        <v>0.30494044801754205</v>
      </c>
      <c r="H60" s="259">
        <f>AffairesMaritimes!L80</f>
        <v>49.186456361138937</v>
      </c>
      <c r="I60" s="260">
        <f>AffairesMaritimes!M80</f>
        <v>2.0326486085158229E-2</v>
      </c>
    </row>
    <row r="63" spans="2:24" x14ac:dyDescent="0.3">
      <c r="B63" s="306">
        <v>4</v>
      </c>
      <c r="C63" s="87" t="s">
        <v>1</v>
      </c>
      <c r="D63" s="307" t="s">
        <v>951</v>
      </c>
      <c r="E63" s="308"/>
      <c r="F63" s="309"/>
      <c r="G63" s="308"/>
      <c r="H63" s="308"/>
      <c r="I63" s="309"/>
      <c r="J63" s="309"/>
      <c r="K63" s="309"/>
      <c r="L63" s="309"/>
      <c r="M63" s="309"/>
      <c r="N63" s="309"/>
      <c r="O63" s="309"/>
      <c r="P63" s="309"/>
      <c r="Q63" s="309"/>
      <c r="R63" s="308"/>
      <c r="S63" s="308"/>
      <c r="T63" s="308"/>
      <c r="U63" s="308"/>
      <c r="V63" s="308"/>
      <c r="W63" s="308"/>
      <c r="X63" s="308"/>
    </row>
    <row r="65" spans="2:24" s="331" customFormat="1" ht="31.5" x14ac:dyDescent="0.35">
      <c r="D65" s="332"/>
      <c r="E65" s="311" t="s">
        <v>464</v>
      </c>
      <c r="F65" s="311" t="s">
        <v>989</v>
      </c>
      <c r="G65" s="311" t="s">
        <v>1022</v>
      </c>
      <c r="H65" s="312" t="s">
        <v>990</v>
      </c>
      <c r="I65" s="312" t="s">
        <v>955</v>
      </c>
    </row>
    <row r="66" spans="2:24" s="321" customFormat="1" x14ac:dyDescent="0.3">
      <c r="D66" s="271" t="s">
        <v>6</v>
      </c>
      <c r="E66" s="436">
        <f>Aménagement!E334</f>
        <v>1295.7694587199999</v>
      </c>
      <c r="F66" s="436">
        <f>Aménagement!F334</f>
        <v>0</v>
      </c>
      <c r="G66" s="437">
        <f>Aménagement!G334</f>
        <v>0</v>
      </c>
      <c r="H66" s="436">
        <f>Aménagement!I334</f>
        <v>254.8247167328571</v>
      </c>
      <c r="I66" s="437">
        <f>Aménagement!J334</f>
        <v>0.19665899286172453</v>
      </c>
    </row>
    <row r="67" spans="2:24" s="321" customFormat="1" x14ac:dyDescent="0.3">
      <c r="D67" s="137" t="s">
        <v>115</v>
      </c>
      <c r="E67" s="322">
        <f>Aménagement!E335</f>
        <v>20636.190455</v>
      </c>
      <c r="F67" s="322">
        <f>Aménagement!F335</f>
        <v>1747.2930841999998</v>
      </c>
      <c r="G67" s="323">
        <f>Aménagement!G335</f>
        <v>8.4671300548917125E-2</v>
      </c>
      <c r="H67" s="322">
        <f>Aménagement!I335</f>
        <v>7478.216246</v>
      </c>
      <c r="I67" s="323">
        <f>Aménagement!J335</f>
        <v>0.36238356407435085</v>
      </c>
    </row>
    <row r="68" spans="2:24" s="321" customFormat="1" x14ac:dyDescent="0.3">
      <c r="D68" s="137" t="s">
        <v>110</v>
      </c>
      <c r="E68" s="322">
        <f>Aménagement!E336</f>
        <v>12813.1</v>
      </c>
      <c r="F68" s="322">
        <f>Aménagement!F336</f>
        <v>938.4</v>
      </c>
      <c r="G68" s="323">
        <f>Aménagement!G336</f>
        <v>7.3237545949067742E-2</v>
      </c>
      <c r="H68" s="322">
        <f>Aménagement!I336</f>
        <v>1852.1</v>
      </c>
      <c r="I68" s="323">
        <f>Aménagement!J336</f>
        <v>0.14454737729355113</v>
      </c>
    </row>
    <row r="69" spans="2:24" x14ac:dyDescent="0.3">
      <c r="D69" s="6" t="s">
        <v>0</v>
      </c>
      <c r="E69" s="259">
        <f>Aménagement!E337</f>
        <v>34745.059913719997</v>
      </c>
      <c r="F69" s="259">
        <f>Aménagement!F337</f>
        <v>2685.6930841999997</v>
      </c>
      <c r="G69" s="260">
        <f>Aménagement!G337</f>
        <v>7.7297120536536576E-2</v>
      </c>
      <c r="H69" s="259">
        <f>Aménagement!I337</f>
        <v>9585.1409627328576</v>
      </c>
      <c r="I69" s="260">
        <f>Aménagement!J337</f>
        <v>0.27587061258593237</v>
      </c>
    </row>
    <row r="72" spans="2:24" x14ac:dyDescent="0.3">
      <c r="B72" s="306">
        <v>5</v>
      </c>
      <c r="C72" s="87" t="s">
        <v>1</v>
      </c>
      <c r="D72" s="307" t="s">
        <v>952</v>
      </c>
      <c r="E72" s="308"/>
      <c r="F72" s="309"/>
      <c r="G72" s="308"/>
      <c r="H72" s="308"/>
      <c r="I72" s="309"/>
      <c r="J72" s="309"/>
      <c r="K72" s="309"/>
      <c r="L72" s="309"/>
      <c r="M72" s="309"/>
      <c r="N72" s="309"/>
      <c r="O72" s="309"/>
      <c r="P72" s="309"/>
      <c r="Q72" s="309"/>
      <c r="R72" s="308"/>
      <c r="S72" s="308"/>
      <c r="T72" s="308"/>
      <c r="U72" s="308"/>
      <c r="V72" s="308"/>
      <c r="W72" s="308"/>
      <c r="X72" s="308"/>
    </row>
    <row r="74" spans="2:24" s="331" customFormat="1" ht="31.5" x14ac:dyDescent="0.35">
      <c r="D74" s="332"/>
      <c r="E74" s="311" t="s">
        <v>464</v>
      </c>
      <c r="F74" s="311" t="s">
        <v>989</v>
      </c>
      <c r="G74" s="311" t="s">
        <v>1022</v>
      </c>
      <c r="H74" s="312" t="s">
        <v>956</v>
      </c>
      <c r="I74" s="312" t="s">
        <v>955</v>
      </c>
    </row>
    <row r="75" spans="2:24" x14ac:dyDescent="0.3">
      <c r="D75" s="137" t="s">
        <v>4</v>
      </c>
      <c r="E75" s="315">
        <f>Énergie!F144</f>
        <v>12706.349149</v>
      </c>
      <c r="F75" s="315">
        <f>Énergie!G144</f>
        <v>2656.7638079999997</v>
      </c>
      <c r="G75" s="114">
        <f>Énergie!H144</f>
        <v>0.20908946990560928</v>
      </c>
      <c r="H75" s="315">
        <f>Énergie!J144</f>
        <v>4344.7682480000003</v>
      </c>
      <c r="I75" s="114">
        <f>Énergie!K144</f>
        <v>0.34193679058015947</v>
      </c>
    </row>
    <row r="76" spans="2:24" x14ac:dyDescent="0.3">
      <c r="D76" s="137" t="s">
        <v>36</v>
      </c>
      <c r="E76" s="315">
        <f>Énergie!F145</f>
        <v>8774</v>
      </c>
      <c r="F76" s="315">
        <f>Énergie!G145</f>
        <v>5730</v>
      </c>
      <c r="G76" s="114">
        <f>Énergie!H145</f>
        <v>0.65306587645315706</v>
      </c>
      <c r="H76" s="315">
        <f>Énergie!J145</f>
        <v>2013</v>
      </c>
      <c r="I76" s="114">
        <f>Énergie!K145</f>
        <v>0.22942785502621382</v>
      </c>
    </row>
    <row r="77" spans="2:24" x14ac:dyDescent="0.3">
      <c r="D77" s="137" t="s">
        <v>455</v>
      </c>
      <c r="E77" s="315">
        <f>Énergie!F146</f>
        <v>135</v>
      </c>
      <c r="F77" s="315">
        <f>Énergie!G146</f>
        <v>0</v>
      </c>
      <c r="G77" s="114">
        <f>Énergie!H146</f>
        <v>0</v>
      </c>
      <c r="H77" s="315">
        <f>Énergie!J146</f>
        <v>0</v>
      </c>
      <c r="I77" s="114">
        <f>Énergie!K146</f>
        <v>0</v>
      </c>
    </row>
    <row r="78" spans="2:24" x14ac:dyDescent="0.3">
      <c r="D78" s="185" t="s">
        <v>0</v>
      </c>
      <c r="E78" s="259">
        <f>Énergie!F147</f>
        <v>21615.349149000001</v>
      </c>
      <c r="F78" s="259">
        <f>Énergie!G147</f>
        <v>8386.7638079999997</v>
      </c>
      <c r="G78" s="260">
        <f>Énergie!H147</f>
        <v>0.38800038575310264</v>
      </c>
      <c r="H78" s="259">
        <f>Énergie!J147</f>
        <v>6357.7682480000003</v>
      </c>
      <c r="I78" s="260">
        <f>Énergie!K147</f>
        <v>0.29413210974175413</v>
      </c>
    </row>
  </sheetData>
  <sheetProtection algorithmName="SHA-512" hashValue="Klf7GwVPcoMaCxN0tZoP5sU4k9mgMMaCtNJaXLbCzOFA04mK94ln3LAqNGDg4M9wiuDU4DNKa8O8WjMZx691eg==" saltValue="0unLENUhMmap/xxjP90Gb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5663-3355-4AA9-B17C-655C6FF1017F}">
  <dimension ref="A2:V337"/>
  <sheetViews>
    <sheetView showGridLines="0" zoomScale="70" zoomScaleNormal="70" workbookViewId="0">
      <pane ySplit="6" topLeftCell="A302" activePane="bottomLeft" state="frozen"/>
      <selection pane="bottomLeft" activeCell="L6" sqref="L6"/>
    </sheetView>
  </sheetViews>
  <sheetFormatPr baseColWidth="10" defaultColWidth="11.5546875" defaultRowHeight="15.75" outlineLevelRow="1" outlineLevelCol="1" x14ac:dyDescent="0.3"/>
  <cols>
    <col min="1" max="3" width="3.21875" style="87" customWidth="1"/>
    <col min="4" max="4" width="73.21875" style="87" customWidth="1"/>
    <col min="5" max="5" width="17.5546875" style="87" bestFit="1" customWidth="1"/>
    <col min="6" max="6" width="21.77734375" style="140" customWidth="1"/>
    <col min="7" max="8" width="12.5546875" style="87" customWidth="1" outlineLevel="1"/>
    <col min="9" max="9" width="12.5546875" style="140" customWidth="1" outlineLevel="1"/>
    <col min="10" max="10" width="12.5546875" style="412" customWidth="1" outlineLevel="1"/>
    <col min="11" max="11" width="12.6640625" style="140" customWidth="1"/>
    <col min="12" max="13" width="15.88671875" style="140" customWidth="1"/>
    <col min="14" max="14" width="2.88671875" style="140" customWidth="1"/>
    <col min="15" max="17" width="9.88671875" style="87" customWidth="1"/>
    <col min="18" max="16384" width="11.5546875" style="87"/>
  </cols>
  <sheetData>
    <row r="2" spans="2:22" x14ac:dyDescent="0.3">
      <c r="B2" s="303" t="s">
        <v>822</v>
      </c>
      <c r="C2" s="303"/>
      <c r="D2" s="304"/>
      <c r="E2" s="304"/>
      <c r="F2" s="305"/>
      <c r="G2" s="304"/>
      <c r="H2" s="304"/>
      <c r="I2" s="305"/>
      <c r="J2" s="411"/>
      <c r="K2" s="305"/>
      <c r="L2" s="305"/>
      <c r="M2" s="305"/>
      <c r="N2" s="305"/>
      <c r="O2" s="304"/>
      <c r="P2" s="304"/>
      <c r="Q2" s="304"/>
      <c r="R2" s="304"/>
      <c r="S2" s="304"/>
      <c r="T2" s="304"/>
      <c r="U2" s="304"/>
      <c r="V2" s="304"/>
    </row>
    <row r="4" spans="2:22" x14ac:dyDescent="0.3">
      <c r="B4" s="306">
        <v>1</v>
      </c>
      <c r="D4" s="307" t="s">
        <v>92</v>
      </c>
      <c r="E4" s="308"/>
      <c r="F4" s="309"/>
      <c r="G4" s="308"/>
      <c r="H4" s="308"/>
      <c r="I4" s="309"/>
      <c r="J4" s="413"/>
      <c r="K4" s="309"/>
      <c r="L4" s="309"/>
      <c r="M4" s="309"/>
      <c r="N4" s="309"/>
      <c r="O4" s="308"/>
      <c r="P4" s="308"/>
      <c r="Q4" s="308"/>
      <c r="R4" s="308"/>
      <c r="S4" s="308"/>
      <c r="T4" s="308"/>
      <c r="U4" s="308"/>
      <c r="V4" s="308"/>
    </row>
    <row r="5" spans="2:22" x14ac:dyDescent="0.3">
      <c r="J5" s="416">
        <f>COUNT(J7:J297)</f>
        <v>248</v>
      </c>
    </row>
    <row r="6" spans="2:22" s="310" customFormat="1" ht="47.25" x14ac:dyDescent="0.3">
      <c r="D6" s="165" t="s">
        <v>91</v>
      </c>
      <c r="E6" s="165" t="s">
        <v>90</v>
      </c>
      <c r="F6" s="164" t="s">
        <v>87</v>
      </c>
      <c r="G6" s="166" t="s">
        <v>821</v>
      </c>
      <c r="H6" s="166" t="s">
        <v>540</v>
      </c>
      <c r="I6" s="166" t="s">
        <v>820</v>
      </c>
      <c r="J6" s="414">
        <f>SUM(J7:J298)</f>
        <v>87</v>
      </c>
      <c r="K6" s="164" t="s">
        <v>819</v>
      </c>
      <c r="L6" s="163" t="s">
        <v>818</v>
      </c>
      <c r="M6" s="163" t="s">
        <v>992</v>
      </c>
      <c r="N6" s="162"/>
      <c r="O6" s="161" t="s">
        <v>522</v>
      </c>
      <c r="P6" s="160"/>
      <c r="R6" s="310" t="s">
        <v>967</v>
      </c>
    </row>
    <row r="7" spans="2:22" ht="16.5" thickBot="1" x14ac:dyDescent="0.35">
      <c r="C7" s="87" t="s">
        <v>1</v>
      </c>
      <c r="D7" s="73" t="s">
        <v>817</v>
      </c>
      <c r="E7" s="73" t="s">
        <v>538</v>
      </c>
      <c r="F7" s="84">
        <f>F8+F16+F43</f>
        <v>6985.56</v>
      </c>
      <c r="G7" s="84"/>
      <c r="H7" s="84"/>
      <c r="I7" s="84"/>
      <c r="J7" s="415"/>
      <c r="K7" s="84">
        <f>K8+K16+K43</f>
        <v>894.62547241135042</v>
      </c>
      <c r="L7" s="84">
        <f>L8+L16+L43</f>
        <v>421.96349601067641</v>
      </c>
      <c r="M7" s="84">
        <f>M8+M16+M43</f>
        <v>5667.8031596953124</v>
      </c>
      <c r="N7" s="84"/>
      <c r="O7" s="84"/>
      <c r="R7" s="87">
        <f>F7*5</f>
        <v>34927.800000000003</v>
      </c>
    </row>
    <row r="8" spans="2:22" ht="16.5" thickBot="1" x14ac:dyDescent="0.35">
      <c r="D8" s="157" t="s">
        <v>816</v>
      </c>
      <c r="E8" s="158" t="s">
        <v>538</v>
      </c>
      <c r="F8" s="133">
        <f>F9+F12+F13+F14</f>
        <v>5707.7</v>
      </c>
      <c r="G8" s="130"/>
      <c r="H8" s="130"/>
      <c r="I8" s="129"/>
      <c r="J8" s="416"/>
      <c r="K8" s="133">
        <f>K9+K12+K13+K14</f>
        <v>536.63556200000016</v>
      </c>
      <c r="L8" s="133">
        <f>L9+L12+L13+L14</f>
        <v>285.72920199999999</v>
      </c>
      <c r="M8" s="133">
        <f>M9+M12+M13+M14</f>
        <v>4885.3352360000008</v>
      </c>
      <c r="N8" s="133"/>
      <c r="O8" s="359">
        <f>+M8/F8</f>
        <v>0.85592011423165215</v>
      </c>
      <c r="R8" s="368">
        <v>28538.400000000001</v>
      </c>
    </row>
    <row r="9" spans="2:22" ht="16.5" thickBot="1" x14ac:dyDescent="0.35">
      <c r="D9" s="80" t="s">
        <v>815</v>
      </c>
      <c r="E9" s="138" t="s">
        <v>538</v>
      </c>
      <c r="F9" s="136">
        <f>F10+F11</f>
        <v>3241.1800000000003</v>
      </c>
      <c r="K9" s="136">
        <f>K10+K11</f>
        <v>253.06281600000008</v>
      </c>
      <c r="L9" s="136">
        <f>L10+L11</f>
        <v>151.85529200000002</v>
      </c>
      <c r="M9" s="136">
        <f>M10+M11</f>
        <v>2836.261892</v>
      </c>
      <c r="N9" s="136"/>
      <c r="R9" s="369">
        <v>16209.9</v>
      </c>
    </row>
    <row r="10" spans="2:22" ht="16.5" thickBot="1" x14ac:dyDescent="0.35">
      <c r="D10" s="373" t="s">
        <v>814</v>
      </c>
      <c r="E10" s="138" t="s">
        <v>538</v>
      </c>
      <c r="F10" s="155">
        <f>R10/5</f>
        <v>3221.7400000000002</v>
      </c>
      <c r="G10" s="352">
        <v>7.8E-2</v>
      </c>
      <c r="H10" s="352">
        <v>4.7E-2</v>
      </c>
      <c r="I10" s="119">
        <f>1-G10-H10</f>
        <v>0.875</v>
      </c>
      <c r="J10" s="379">
        <f t="shared" ref="J10:J73" si="0">+IF(I10&lt;&gt;0, 1,0)</f>
        <v>1</v>
      </c>
      <c r="K10" s="118">
        <f>F10-L10-M10</f>
        <v>251.29572000000007</v>
      </c>
      <c r="L10" s="118">
        <f>H10*$F10</f>
        <v>151.42178000000001</v>
      </c>
      <c r="M10" s="118">
        <f>IF(ISNUMBER(I10),I10*F10,F10)</f>
        <v>2819.0225</v>
      </c>
      <c r="N10" s="159"/>
      <c r="O10" s="87" t="s">
        <v>792</v>
      </c>
      <c r="R10" s="370">
        <v>16108.7</v>
      </c>
    </row>
    <row r="11" spans="2:22" ht="16.5" thickBot="1" x14ac:dyDescent="0.35">
      <c r="D11" s="373" t="s">
        <v>813</v>
      </c>
      <c r="E11" s="138" t="s">
        <v>538</v>
      </c>
      <c r="F11" s="155">
        <f>R11/5</f>
        <v>19.440000000000001</v>
      </c>
      <c r="G11" s="69">
        <v>9.0899999999999995E-2</v>
      </c>
      <c r="H11" s="69">
        <v>2.23E-2</v>
      </c>
      <c r="I11" s="119">
        <f>1-G11-H11</f>
        <v>0.88680000000000003</v>
      </c>
      <c r="J11" s="379">
        <f t="shared" si="0"/>
        <v>1</v>
      </c>
      <c r="K11" s="118">
        <f>F11-L11-M11</f>
        <v>1.7670959999999987</v>
      </c>
      <c r="L11" s="118">
        <f>H11*$F11</f>
        <v>0.43351200000000001</v>
      </c>
      <c r="M11" s="118">
        <f>IF(ISNUMBER(I11),I11*F11,F11)</f>
        <v>17.239392000000002</v>
      </c>
      <c r="N11" s="159"/>
      <c r="R11" s="371">
        <v>97.2</v>
      </c>
    </row>
    <row r="12" spans="2:22" ht="16.5" thickBot="1" x14ac:dyDescent="0.35">
      <c r="D12" s="80" t="s">
        <v>812</v>
      </c>
      <c r="E12" s="138" t="s">
        <v>538</v>
      </c>
      <c r="F12" s="136">
        <f>R12/5</f>
        <v>1678.7400000000002</v>
      </c>
      <c r="G12" s="69">
        <v>0.11600000000000001</v>
      </c>
      <c r="H12" s="69">
        <v>5.2900000000000003E-2</v>
      </c>
      <c r="I12" s="119">
        <f>1-G12-H12</f>
        <v>0.83109999999999995</v>
      </c>
      <c r="J12" s="379">
        <f t="shared" si="0"/>
        <v>1</v>
      </c>
      <c r="K12" s="118">
        <f>F12-L12-M12</f>
        <v>194.7338400000001</v>
      </c>
      <c r="L12" s="118">
        <f>H12*$F12</f>
        <v>88.805346000000014</v>
      </c>
      <c r="M12" s="118">
        <f>IF(ISNUMBER(I12),I12*F12,F12)</f>
        <v>1395.200814</v>
      </c>
      <c r="N12" s="118"/>
      <c r="R12" s="369">
        <v>8393.7000000000007</v>
      </c>
    </row>
    <row r="13" spans="2:22" ht="16.5" thickBot="1" x14ac:dyDescent="0.35">
      <c r="D13" s="80" t="s">
        <v>811</v>
      </c>
      <c r="E13" s="138" t="s">
        <v>538</v>
      </c>
      <c r="F13" s="136">
        <f>R13/5</f>
        <v>671.5</v>
      </c>
      <c r="G13" s="69">
        <v>9.5899999999999999E-2</v>
      </c>
      <c r="H13" s="69">
        <v>5.7799999999999997E-2</v>
      </c>
      <c r="I13" s="119">
        <f>1-G13-H13</f>
        <v>0.84630000000000005</v>
      </c>
      <c r="J13" s="379">
        <f t="shared" si="0"/>
        <v>1</v>
      </c>
      <c r="K13" s="118">
        <f>F13-L13-M13</f>
        <v>64.396849999999972</v>
      </c>
      <c r="L13" s="118">
        <f>H13*$F13</f>
        <v>38.8127</v>
      </c>
      <c r="M13" s="118">
        <f>IF(ISNUMBER(I13),I13*F13,F13)</f>
        <v>568.29045000000008</v>
      </c>
      <c r="N13" s="118"/>
      <c r="R13" s="369">
        <v>3357.5</v>
      </c>
    </row>
    <row r="14" spans="2:22" ht="16.5" thickBot="1" x14ac:dyDescent="0.35">
      <c r="D14" s="80" t="s">
        <v>810</v>
      </c>
      <c r="E14" s="138" t="s">
        <v>538</v>
      </c>
      <c r="F14" s="136">
        <f>R14/5</f>
        <v>116.28</v>
      </c>
      <c r="G14" s="69">
        <v>0.2102</v>
      </c>
      <c r="H14" s="69">
        <v>5.3800000000000001E-2</v>
      </c>
      <c r="I14" s="119">
        <f>1-G14-H14</f>
        <v>0.7360000000000001</v>
      </c>
      <c r="J14" s="379">
        <f t="shared" si="0"/>
        <v>1</v>
      </c>
      <c r="K14" s="118">
        <f>F14-L14-M14</f>
        <v>24.44205599999998</v>
      </c>
      <c r="L14" s="118">
        <f>H14*$F14</f>
        <v>6.2558639999999999</v>
      </c>
      <c r="M14" s="118">
        <f>IF(ISNUMBER(I14),I14*F14,F14)</f>
        <v>85.582080000000019</v>
      </c>
      <c r="N14" s="118"/>
      <c r="R14" s="369">
        <v>581.4</v>
      </c>
    </row>
    <row r="15" spans="2:22" ht="16.5" thickBot="1" x14ac:dyDescent="0.35">
      <c r="D15" s="80"/>
      <c r="E15" s="138"/>
      <c r="F15" s="136"/>
      <c r="G15" s="69"/>
      <c r="H15" s="69"/>
      <c r="I15" s="119"/>
      <c r="J15" s="379">
        <f t="shared" si="0"/>
        <v>0</v>
      </c>
      <c r="K15" s="118"/>
      <c r="L15" s="118"/>
      <c r="M15" s="118"/>
      <c r="N15" s="118"/>
    </row>
    <row r="16" spans="2:22" ht="16.5" thickBot="1" x14ac:dyDescent="0.35">
      <c r="D16" s="157" t="s">
        <v>809</v>
      </c>
      <c r="E16" s="158" t="s">
        <v>538</v>
      </c>
      <c r="F16" s="139">
        <f>F17+F34</f>
        <v>1007.22</v>
      </c>
      <c r="G16" s="167"/>
      <c r="H16" s="167"/>
      <c r="I16" s="168"/>
      <c r="J16" s="417">
        <f t="shared" si="0"/>
        <v>0</v>
      </c>
      <c r="K16" s="139">
        <f>K17+K34</f>
        <v>265.13654360184495</v>
      </c>
      <c r="L16" s="139">
        <f>L17+L34</f>
        <v>50.275871779797349</v>
      </c>
      <c r="M16" s="139">
        <f>M17+M34</f>
        <v>690.63971273569598</v>
      </c>
      <c r="N16" s="139"/>
      <c r="O16" s="359">
        <f>+M16/F16</f>
        <v>0.6856890378821866</v>
      </c>
      <c r="R16" s="368">
        <v>5036.2</v>
      </c>
    </row>
    <row r="17" spans="4:18" ht="16.5" thickBot="1" x14ac:dyDescent="0.35">
      <c r="D17" s="80" t="s">
        <v>808</v>
      </c>
      <c r="E17" s="138" t="s">
        <v>538</v>
      </c>
      <c r="F17" s="136">
        <f>SUM(F18:F32)</f>
        <v>230.96</v>
      </c>
      <c r="G17" s="169"/>
      <c r="H17" s="169"/>
      <c r="I17" s="170"/>
      <c r="J17" s="379">
        <f t="shared" si="0"/>
        <v>0</v>
      </c>
      <c r="K17" s="136">
        <f>SUM(K18:K32)</f>
        <v>205.72046459266394</v>
      </c>
      <c r="L17" s="136">
        <f>SUM(L18:L32)</f>
        <v>3.6656738832109048</v>
      </c>
      <c r="M17" s="136">
        <f>SUM(M18:M32)</f>
        <v>21.665989641463401</v>
      </c>
      <c r="N17" s="136"/>
      <c r="R17" s="369">
        <v>1154.8</v>
      </c>
    </row>
    <row r="18" spans="4:18" ht="16.5" thickBot="1" x14ac:dyDescent="0.35">
      <c r="D18" s="373" t="s">
        <v>807</v>
      </c>
      <c r="E18" s="138" t="s">
        <v>538</v>
      </c>
      <c r="F18" s="155">
        <f t="shared" ref="F18:F32" si="1">R18/5</f>
        <v>6.14</v>
      </c>
      <c r="G18" s="360">
        <v>3.0543602585802222E-2</v>
      </c>
      <c r="H18" s="360">
        <v>0.13578772937192346</v>
      </c>
      <c r="I18" s="119">
        <f t="shared" ref="I18:I32" si="2">1-G18-H18</f>
        <v>0.83366866804227424</v>
      </c>
      <c r="J18" s="379">
        <f t="shared" si="0"/>
        <v>1</v>
      </c>
      <c r="K18" s="118">
        <f t="shared" ref="K18:K32" si="3">F18-L18-M18</f>
        <v>0.18753771987682644</v>
      </c>
      <c r="L18" s="118">
        <f t="shared" ref="L18:L32" si="4">H18*$F18</f>
        <v>0.83373665834360999</v>
      </c>
      <c r="M18" s="118">
        <f t="shared" ref="M18:M32" si="5">IF(ISNUMBER(I18),I18*F18,F18)</f>
        <v>5.1187256217795634</v>
      </c>
      <c r="N18" s="118"/>
      <c r="O18" s="87" t="s">
        <v>792</v>
      </c>
      <c r="R18" s="370">
        <v>30.7</v>
      </c>
    </row>
    <row r="19" spans="4:18" ht="16.5" thickBot="1" x14ac:dyDescent="0.35">
      <c r="D19" s="373" t="s">
        <v>806</v>
      </c>
      <c r="E19" s="138" t="s">
        <v>538</v>
      </c>
      <c r="F19" s="155">
        <f t="shared" si="1"/>
        <v>1.6</v>
      </c>
      <c r="G19" s="360">
        <v>0.16418466679966923</v>
      </c>
      <c r="H19" s="360">
        <v>5.7580073336428034E-2</v>
      </c>
      <c r="I19" s="119">
        <v>0</v>
      </c>
      <c r="J19" s="379">
        <f t="shared" si="0"/>
        <v>0</v>
      </c>
      <c r="K19" s="118">
        <f>+F19</f>
        <v>1.6</v>
      </c>
      <c r="L19" s="118">
        <f t="shared" si="4"/>
        <v>9.2128117338284854E-2</v>
      </c>
      <c r="M19" s="118">
        <f t="shared" si="5"/>
        <v>0</v>
      </c>
      <c r="N19" s="118"/>
      <c r="R19" s="370">
        <v>8</v>
      </c>
    </row>
    <row r="20" spans="4:18" ht="16.5" thickBot="1" x14ac:dyDescent="0.35">
      <c r="D20" s="373" t="s">
        <v>805</v>
      </c>
      <c r="E20" s="138" t="s">
        <v>538</v>
      </c>
      <c r="F20" s="155">
        <f t="shared" si="1"/>
        <v>0.32</v>
      </c>
      <c r="G20" s="360">
        <v>0.1472619942783554</v>
      </c>
      <c r="H20" s="360">
        <v>5.5676080429885498E-2</v>
      </c>
      <c r="I20" s="119">
        <f t="shared" si="2"/>
        <v>0.79706192529175912</v>
      </c>
      <c r="J20" s="379">
        <f t="shared" si="0"/>
        <v>1</v>
      </c>
      <c r="K20" s="118">
        <f t="shared" si="3"/>
        <v>4.7123838169073728E-2</v>
      </c>
      <c r="L20" s="118">
        <f t="shared" si="4"/>
        <v>1.7816345737563358E-2</v>
      </c>
      <c r="M20" s="118">
        <f t="shared" si="5"/>
        <v>0.25505981609336292</v>
      </c>
      <c r="N20" s="118"/>
      <c r="R20" s="370">
        <v>1.6</v>
      </c>
    </row>
    <row r="21" spans="4:18" ht="16.5" thickBot="1" x14ac:dyDescent="0.35">
      <c r="D21" s="373" t="s">
        <v>804</v>
      </c>
      <c r="E21" s="138" t="s">
        <v>538</v>
      </c>
      <c r="F21" s="155">
        <f t="shared" si="1"/>
        <v>1.86</v>
      </c>
      <c r="G21" s="360">
        <v>0</v>
      </c>
      <c r="H21" s="360">
        <v>1.9259164391462892E-2</v>
      </c>
      <c r="I21" s="119">
        <f t="shared" si="2"/>
        <v>0.98074083560853709</v>
      </c>
      <c r="J21" s="379">
        <f t="shared" si="0"/>
        <v>1</v>
      </c>
      <c r="K21" s="118">
        <f t="shared" si="3"/>
        <v>0</v>
      </c>
      <c r="L21" s="118">
        <f t="shared" si="4"/>
        <v>3.582204576812098E-2</v>
      </c>
      <c r="M21" s="118">
        <f t="shared" si="5"/>
        <v>1.824177954231879</v>
      </c>
      <c r="N21" s="118"/>
      <c r="R21" s="370">
        <v>9.3000000000000007</v>
      </c>
    </row>
    <row r="22" spans="4:18" ht="16.5" thickBot="1" x14ac:dyDescent="0.35">
      <c r="D22" s="373" t="s">
        <v>803</v>
      </c>
      <c r="E22" s="138" t="s">
        <v>538</v>
      </c>
      <c r="F22" s="155">
        <f t="shared" si="1"/>
        <v>0.44000000000000006</v>
      </c>
      <c r="G22" s="360">
        <v>1.4066027102623044E-2</v>
      </c>
      <c r="H22" s="360">
        <v>6.1603957614542605E-2</v>
      </c>
      <c r="I22" s="119">
        <f t="shared" si="2"/>
        <v>0.92433001528283432</v>
      </c>
      <c r="J22" s="379">
        <f t="shared" si="0"/>
        <v>1</v>
      </c>
      <c r="K22" s="118">
        <f t="shared" si="3"/>
        <v>6.1890519251541765E-3</v>
      </c>
      <c r="L22" s="118">
        <f t="shared" si="4"/>
        <v>2.7105741350398751E-2</v>
      </c>
      <c r="M22" s="118">
        <f t="shared" si="5"/>
        <v>0.40670520672444715</v>
      </c>
      <c r="N22" s="118"/>
      <c r="R22" s="370">
        <v>2.2000000000000002</v>
      </c>
    </row>
    <row r="23" spans="4:18" ht="16.5" thickBot="1" x14ac:dyDescent="0.35">
      <c r="D23" s="373" t="s">
        <v>802</v>
      </c>
      <c r="E23" s="138" t="s">
        <v>538</v>
      </c>
      <c r="F23" s="155">
        <f t="shared" si="1"/>
        <v>9.9599999999999991</v>
      </c>
      <c r="G23" s="360">
        <v>0.69195800927959406</v>
      </c>
      <c r="H23" s="360">
        <v>9.7842706058310913E-3</v>
      </c>
      <c r="I23" s="119">
        <f t="shared" si="2"/>
        <v>0.29825772011457485</v>
      </c>
      <c r="J23" s="379">
        <f t="shared" si="0"/>
        <v>1</v>
      </c>
      <c r="K23" s="118">
        <f t="shared" si="3"/>
        <v>6.891901772424756</v>
      </c>
      <c r="L23" s="118">
        <f t="shared" si="4"/>
        <v>9.745133523407766E-2</v>
      </c>
      <c r="M23" s="118">
        <f t="shared" si="5"/>
        <v>2.9706468923411653</v>
      </c>
      <c r="N23" s="118"/>
      <c r="R23" s="370">
        <v>49.8</v>
      </c>
    </row>
    <row r="24" spans="4:18" ht="16.5" thickBot="1" x14ac:dyDescent="0.35">
      <c r="D24" s="373" t="s">
        <v>801</v>
      </c>
      <c r="E24" s="138" t="s">
        <v>538</v>
      </c>
      <c r="F24" s="155">
        <f t="shared" si="1"/>
        <v>0.45999999999999996</v>
      </c>
      <c r="G24" s="360">
        <v>1.6770395178769604E-2</v>
      </c>
      <c r="H24" s="360">
        <v>0.42010132156131058</v>
      </c>
      <c r="I24" s="119">
        <f t="shared" si="2"/>
        <v>0.56312828325991982</v>
      </c>
      <c r="J24" s="379">
        <f t="shared" si="0"/>
        <v>1</v>
      </c>
      <c r="K24" s="118">
        <f t="shared" si="3"/>
        <v>7.7143817822339922E-3</v>
      </c>
      <c r="L24" s="118">
        <f t="shared" si="4"/>
        <v>0.19324660791820286</v>
      </c>
      <c r="M24" s="118">
        <f t="shared" si="5"/>
        <v>0.25903901029956311</v>
      </c>
      <c r="N24" s="118"/>
      <c r="R24" s="370">
        <v>2.2999999999999998</v>
      </c>
    </row>
    <row r="25" spans="4:18" ht="16.5" thickBot="1" x14ac:dyDescent="0.35">
      <c r="D25" s="373" t="s">
        <v>800</v>
      </c>
      <c r="E25" s="138" t="s">
        <v>538</v>
      </c>
      <c r="F25" s="155">
        <f t="shared" si="1"/>
        <v>0.06</v>
      </c>
      <c r="G25" s="360">
        <v>0.1309662398137369</v>
      </c>
      <c r="H25" s="360">
        <v>0.6071012805587892</v>
      </c>
      <c r="I25" s="119">
        <f t="shared" si="2"/>
        <v>0.2619324796274739</v>
      </c>
      <c r="J25" s="379">
        <f t="shared" si="0"/>
        <v>1</v>
      </c>
      <c r="K25" s="118">
        <f t="shared" si="3"/>
        <v>7.8579743888242126E-3</v>
      </c>
      <c r="L25" s="118">
        <f t="shared" si="4"/>
        <v>3.6426076833527353E-2</v>
      </c>
      <c r="M25" s="118">
        <f t="shared" si="5"/>
        <v>1.5715948777648432E-2</v>
      </c>
      <c r="N25" s="118"/>
      <c r="R25" s="370">
        <v>0.3</v>
      </c>
    </row>
    <row r="26" spans="4:18" ht="16.5" thickBot="1" x14ac:dyDescent="0.35">
      <c r="D26" s="373" t="s">
        <v>799</v>
      </c>
      <c r="E26" s="138" t="s">
        <v>538</v>
      </c>
      <c r="F26" s="155">
        <f t="shared" si="1"/>
        <v>0.36</v>
      </c>
      <c r="G26" s="360">
        <v>3.327560157718245E-2</v>
      </c>
      <c r="H26" s="360">
        <v>0.66477503040129726</v>
      </c>
      <c r="I26" s="119">
        <f t="shared" si="2"/>
        <v>0.30194936802152028</v>
      </c>
      <c r="J26" s="379">
        <f t="shared" si="0"/>
        <v>1</v>
      </c>
      <c r="K26" s="118">
        <f t="shared" si="3"/>
        <v>1.197921656778568E-2</v>
      </c>
      <c r="L26" s="118">
        <f t="shared" si="4"/>
        <v>0.239319010944467</v>
      </c>
      <c r="M26" s="118">
        <f t="shared" si="5"/>
        <v>0.1087017724877473</v>
      </c>
      <c r="N26" s="118"/>
      <c r="R26" s="370">
        <v>1.8</v>
      </c>
    </row>
    <row r="27" spans="4:18" ht="16.5" thickBot="1" x14ac:dyDescent="0.35">
      <c r="D27" s="373" t="s">
        <v>798</v>
      </c>
      <c r="E27" s="138" t="s">
        <v>538</v>
      </c>
      <c r="F27" s="155">
        <f t="shared" si="1"/>
        <v>10.620000000000001</v>
      </c>
      <c r="G27" s="360">
        <v>0.15128197060114906</v>
      </c>
      <c r="H27" s="360">
        <v>0.11741340561457748</v>
      </c>
      <c r="I27" s="119">
        <f t="shared" si="2"/>
        <v>0.73130462378427352</v>
      </c>
      <c r="J27" s="379">
        <f t="shared" si="0"/>
        <v>1</v>
      </c>
      <c r="K27" s="118">
        <f t="shared" si="3"/>
        <v>1.6066145277842026</v>
      </c>
      <c r="L27" s="118">
        <f t="shared" si="4"/>
        <v>1.2469303676268131</v>
      </c>
      <c r="M27" s="118">
        <f t="shared" si="5"/>
        <v>7.7664551045889851</v>
      </c>
      <c r="N27" s="118"/>
      <c r="R27" s="370">
        <v>53.1</v>
      </c>
    </row>
    <row r="28" spans="4:18" ht="16.5" thickBot="1" x14ac:dyDescent="0.35">
      <c r="D28" s="373" t="s">
        <v>797</v>
      </c>
      <c r="E28" s="138" t="s">
        <v>538</v>
      </c>
      <c r="F28" s="155">
        <f t="shared" si="1"/>
        <v>2.6</v>
      </c>
      <c r="G28" s="360">
        <v>0.15701892292681427</v>
      </c>
      <c r="H28" s="360">
        <v>0.18499720239848763</v>
      </c>
      <c r="I28" s="119">
        <f t="shared" si="2"/>
        <v>0.6579838746746981</v>
      </c>
      <c r="J28" s="379">
        <f t="shared" si="0"/>
        <v>1</v>
      </c>
      <c r="K28" s="118">
        <f t="shared" si="3"/>
        <v>0.40824919960971706</v>
      </c>
      <c r="L28" s="118">
        <f t="shared" si="4"/>
        <v>0.48099272623606787</v>
      </c>
      <c r="M28" s="118">
        <f t="shared" si="5"/>
        <v>1.7107580741542152</v>
      </c>
      <c r="N28" s="118"/>
      <c r="R28" s="370">
        <v>13</v>
      </c>
    </row>
    <row r="29" spans="4:18" ht="16.5" thickBot="1" x14ac:dyDescent="0.35">
      <c r="D29" s="373" t="s">
        <v>796</v>
      </c>
      <c r="E29" s="138" t="s">
        <v>538</v>
      </c>
      <c r="F29" s="155">
        <f t="shared" si="1"/>
        <v>91.679999999999993</v>
      </c>
      <c r="G29" s="360">
        <v>1</v>
      </c>
      <c r="H29" s="360">
        <v>0</v>
      </c>
      <c r="I29" s="119">
        <v>0</v>
      </c>
      <c r="J29" s="379">
        <f t="shared" si="0"/>
        <v>0</v>
      </c>
      <c r="K29" s="118">
        <f t="shared" si="3"/>
        <v>91.679999999999993</v>
      </c>
      <c r="L29" s="118">
        <f t="shared" si="4"/>
        <v>0</v>
      </c>
      <c r="M29" s="118">
        <f t="shared" si="5"/>
        <v>0</v>
      </c>
      <c r="N29" s="118"/>
      <c r="R29" s="370">
        <v>458.4</v>
      </c>
    </row>
    <row r="30" spans="4:18" ht="16.5" thickBot="1" x14ac:dyDescent="0.35">
      <c r="D30" s="373" t="s">
        <v>964</v>
      </c>
      <c r="E30" s="138" t="s">
        <v>538</v>
      </c>
      <c r="F30" s="155">
        <f t="shared" si="1"/>
        <v>85.06</v>
      </c>
      <c r="G30" s="360">
        <v>1</v>
      </c>
      <c r="H30" s="360">
        <v>0</v>
      </c>
      <c r="I30" s="119">
        <v>0</v>
      </c>
      <c r="J30" s="379">
        <f t="shared" si="0"/>
        <v>0</v>
      </c>
      <c r="K30" s="118">
        <f t="shared" si="3"/>
        <v>85.06</v>
      </c>
      <c r="L30" s="118">
        <f t="shared" si="4"/>
        <v>0</v>
      </c>
      <c r="M30" s="118">
        <f t="shared" si="5"/>
        <v>0</v>
      </c>
      <c r="N30" s="118"/>
      <c r="Q30" s="361"/>
      <c r="R30" s="370">
        <v>425.3</v>
      </c>
    </row>
    <row r="31" spans="4:18" ht="16.5" thickBot="1" x14ac:dyDescent="0.35">
      <c r="D31" s="373" t="s">
        <v>965</v>
      </c>
      <c r="E31" s="138" t="s">
        <v>538</v>
      </c>
      <c r="F31" s="155">
        <f t="shared" si="1"/>
        <v>17.940000000000001</v>
      </c>
      <c r="G31" s="360">
        <v>1</v>
      </c>
      <c r="H31" s="360">
        <v>0</v>
      </c>
      <c r="I31" s="119">
        <v>0</v>
      </c>
      <c r="J31" s="379">
        <f t="shared" si="0"/>
        <v>0</v>
      </c>
      <c r="K31" s="118">
        <f t="shared" ref="K31" si="6">F31-L31-M31</f>
        <v>17.940000000000001</v>
      </c>
      <c r="L31" s="118">
        <f t="shared" ref="L31" si="7">H31*$F31</f>
        <v>0</v>
      </c>
      <c r="M31" s="118">
        <f t="shared" ref="M31" si="8">IF(ISNUMBER(I31),I31*F31,F31)</f>
        <v>0</v>
      </c>
      <c r="N31" s="118"/>
      <c r="Q31" s="361"/>
      <c r="R31" s="370">
        <v>89.7</v>
      </c>
    </row>
    <row r="32" spans="4:18" ht="16.5" thickBot="1" x14ac:dyDescent="0.35">
      <c r="D32" s="373" t="s">
        <v>795</v>
      </c>
      <c r="E32" s="138" t="s">
        <v>538</v>
      </c>
      <c r="F32" s="155">
        <f t="shared" si="1"/>
        <v>1.86</v>
      </c>
      <c r="G32" s="360">
        <v>0.1426327473846255</v>
      </c>
      <c r="H32" s="360">
        <v>0.19607465047299519</v>
      </c>
      <c r="I32" s="119">
        <f t="shared" si="2"/>
        <v>0.66129260214237928</v>
      </c>
      <c r="J32" s="379">
        <f t="shared" si="0"/>
        <v>1</v>
      </c>
      <c r="K32" s="118">
        <f t="shared" si="3"/>
        <v>0.26529691013540369</v>
      </c>
      <c r="L32" s="118">
        <f t="shared" si="4"/>
        <v>0.36469884987977108</v>
      </c>
      <c r="M32" s="118">
        <f t="shared" si="5"/>
        <v>1.2300042399848254</v>
      </c>
      <c r="N32" s="118"/>
      <c r="R32" s="370">
        <v>9.3000000000000007</v>
      </c>
    </row>
    <row r="33" spans="4:18" ht="16.5" thickBot="1" x14ac:dyDescent="0.35">
      <c r="D33" s="373"/>
      <c r="E33" s="138"/>
      <c r="F33" s="155"/>
      <c r="G33" s="360"/>
      <c r="H33" s="360"/>
      <c r="I33" s="119"/>
      <c r="J33" s="379"/>
      <c r="K33" s="118"/>
      <c r="L33" s="118"/>
      <c r="M33" s="118"/>
      <c r="N33" s="118"/>
    </row>
    <row r="34" spans="4:18" ht="16.5" thickBot="1" x14ac:dyDescent="0.35">
      <c r="D34" s="80" t="s">
        <v>794</v>
      </c>
      <c r="E34" s="138" t="s">
        <v>538</v>
      </c>
      <c r="F34" s="136">
        <f>SUM(F35:F41)</f>
        <v>776.26</v>
      </c>
      <c r="G34" s="169"/>
      <c r="H34" s="169"/>
      <c r="I34" s="170"/>
      <c r="J34" s="379"/>
      <c r="K34" s="136">
        <f>SUM(K35:K41)</f>
        <v>59.416079009181011</v>
      </c>
      <c r="L34" s="136">
        <f>SUM(L35:L41)</f>
        <v>46.610197896586442</v>
      </c>
      <c r="M34" s="136">
        <f>SUM(M35:M41)</f>
        <v>668.97372309423258</v>
      </c>
      <c r="N34" s="136"/>
      <c r="R34" s="372">
        <v>3881.4</v>
      </c>
    </row>
    <row r="35" spans="4:18" ht="16.5" thickBot="1" x14ac:dyDescent="0.35">
      <c r="D35" s="373" t="s">
        <v>793</v>
      </c>
      <c r="E35" s="138" t="s">
        <v>538</v>
      </c>
      <c r="F35" s="155">
        <f t="shared" ref="F35:F40" si="9">R35/5</f>
        <v>99.56</v>
      </c>
      <c r="G35" s="360">
        <v>0.10545298583657041</v>
      </c>
      <c r="H35" s="360">
        <v>6.8638581916980371E-2</v>
      </c>
      <c r="I35" s="119">
        <f t="shared" ref="I35:I41" si="10">1-G35-H35</f>
        <v>0.82590843224644928</v>
      </c>
      <c r="J35" s="379">
        <f t="shared" si="0"/>
        <v>1</v>
      </c>
      <c r="K35" s="118">
        <f t="shared" ref="K35:K41" si="11">F35-L35-M35</f>
        <v>10.498899269888938</v>
      </c>
      <c r="L35" s="118">
        <f t="shared" ref="L35:L41" si="12">H35*$F35</f>
        <v>6.8336572156545659</v>
      </c>
      <c r="M35" s="118">
        <f t="shared" ref="M35:M41" si="13">IF(ISNUMBER(I35),I35*F35,F35)</f>
        <v>82.227443514456496</v>
      </c>
      <c r="N35" s="118"/>
      <c r="O35" s="87" t="s">
        <v>792</v>
      </c>
      <c r="R35" s="370">
        <v>497.8</v>
      </c>
    </row>
    <row r="36" spans="4:18" ht="16.5" thickBot="1" x14ac:dyDescent="0.35">
      <c r="D36" s="373" t="s">
        <v>966</v>
      </c>
      <c r="E36" s="138" t="s">
        <v>538</v>
      </c>
      <c r="F36" s="155">
        <f t="shared" si="9"/>
        <v>1.26</v>
      </c>
      <c r="G36" s="360">
        <v>0.10545298583657041</v>
      </c>
      <c r="H36" s="360">
        <v>6.8638581916980371E-2</v>
      </c>
      <c r="I36" s="119">
        <f t="shared" ref="I36" si="14">1-G36-H36</f>
        <v>0.82590843224644928</v>
      </c>
      <c r="J36" s="379">
        <f t="shared" si="0"/>
        <v>1</v>
      </c>
      <c r="K36" s="118"/>
      <c r="L36" s="118"/>
      <c r="M36" s="118"/>
      <c r="N36" s="118"/>
      <c r="R36" s="370">
        <v>6.3</v>
      </c>
    </row>
    <row r="37" spans="4:18" ht="16.5" thickBot="1" x14ac:dyDescent="0.35">
      <c r="D37" s="373" t="s">
        <v>791</v>
      </c>
      <c r="E37" s="138" t="s">
        <v>538</v>
      </c>
      <c r="F37" s="155">
        <f t="shared" si="9"/>
        <v>12.059999999999999</v>
      </c>
      <c r="G37" s="360">
        <v>0.13183503997282547</v>
      </c>
      <c r="H37" s="360">
        <v>4.508324868987286E-2</v>
      </c>
      <c r="I37" s="119">
        <f t="shared" si="10"/>
        <v>0.82308171133730168</v>
      </c>
      <c r="J37" s="379">
        <f t="shared" si="0"/>
        <v>1</v>
      </c>
      <c r="K37" s="118">
        <f t="shared" si="11"/>
        <v>1.5899305820722756</v>
      </c>
      <c r="L37" s="118">
        <f t="shared" si="12"/>
        <v>0.54370397919986668</v>
      </c>
      <c r="M37" s="118">
        <f t="shared" si="13"/>
        <v>9.9263654387278564</v>
      </c>
      <c r="N37" s="118"/>
      <c r="R37" s="370">
        <v>60.3</v>
      </c>
    </row>
    <row r="38" spans="4:18" ht="16.5" thickBot="1" x14ac:dyDescent="0.35">
      <c r="D38" s="373" t="s">
        <v>790</v>
      </c>
      <c r="E38" s="138" t="s">
        <v>538</v>
      </c>
      <c r="F38" s="155">
        <f t="shared" si="9"/>
        <v>653.4</v>
      </c>
      <c r="G38" s="360">
        <v>7.0837638551367141E-2</v>
      </c>
      <c r="H38" s="360">
        <v>5.9194997401782828E-2</v>
      </c>
      <c r="I38" s="119">
        <f t="shared" si="10"/>
        <v>0.86996736404685004</v>
      </c>
      <c r="J38" s="379">
        <f t="shared" si="0"/>
        <v>1</v>
      </c>
      <c r="K38" s="118">
        <f t="shared" si="11"/>
        <v>46.285313029463282</v>
      </c>
      <c r="L38" s="118">
        <f t="shared" si="12"/>
        <v>38.678011302324897</v>
      </c>
      <c r="M38" s="118">
        <f t="shared" si="13"/>
        <v>568.43667566821182</v>
      </c>
      <c r="N38" s="118"/>
      <c r="R38" s="370">
        <v>3267</v>
      </c>
    </row>
    <row r="39" spans="4:18" ht="16.5" thickBot="1" x14ac:dyDescent="0.35">
      <c r="D39" s="373" t="s">
        <v>789</v>
      </c>
      <c r="E39" s="138" t="s">
        <v>538</v>
      </c>
      <c r="F39" s="155">
        <f t="shared" si="9"/>
        <v>1.8800000000000001</v>
      </c>
      <c r="G39" s="360">
        <v>0.10883304864362503</v>
      </c>
      <c r="H39" s="360">
        <v>1.1063042531423622E-2</v>
      </c>
      <c r="I39" s="119">
        <f t="shared" si="10"/>
        <v>0.88010390882495126</v>
      </c>
      <c r="J39" s="379">
        <f t="shared" si="0"/>
        <v>1</v>
      </c>
      <c r="K39" s="118">
        <f t="shared" si="11"/>
        <v>0.20460613145001538</v>
      </c>
      <c r="L39" s="118">
        <f t="shared" si="12"/>
        <v>2.079851995907641E-2</v>
      </c>
      <c r="M39" s="118">
        <f t="shared" si="13"/>
        <v>1.6545953485909084</v>
      </c>
      <c r="N39" s="118"/>
      <c r="R39" s="370">
        <v>9.4</v>
      </c>
    </row>
    <row r="40" spans="4:18" ht="16.5" thickBot="1" x14ac:dyDescent="0.35">
      <c r="D40" s="373" t="s">
        <v>788</v>
      </c>
      <c r="E40" s="138" t="s">
        <v>538</v>
      </c>
      <c r="F40" s="155">
        <f t="shared" si="9"/>
        <v>4</v>
      </c>
      <c r="G40" s="360">
        <v>0.1702792112329638</v>
      </c>
      <c r="H40" s="360">
        <v>0.11362975865435228</v>
      </c>
      <c r="I40" s="119">
        <f t="shared" si="10"/>
        <v>0.71609103011268382</v>
      </c>
      <c r="J40" s="379">
        <f t="shared" si="0"/>
        <v>1</v>
      </c>
      <c r="K40" s="118">
        <f t="shared" si="11"/>
        <v>0.68111684493185543</v>
      </c>
      <c r="L40" s="118">
        <f t="shared" si="12"/>
        <v>0.45451903461740911</v>
      </c>
      <c r="M40" s="118">
        <f t="shared" si="13"/>
        <v>2.8643641204507353</v>
      </c>
      <c r="N40" s="118"/>
      <c r="R40" s="370">
        <v>20</v>
      </c>
    </row>
    <row r="41" spans="4:18" ht="16.5" thickBot="1" x14ac:dyDescent="0.35">
      <c r="D41" s="373" t="s">
        <v>787</v>
      </c>
      <c r="E41" s="138" t="s">
        <v>538</v>
      </c>
      <c r="F41" s="155">
        <v>4.0999999999999996</v>
      </c>
      <c r="G41" s="360">
        <v>3.8100768627961405E-2</v>
      </c>
      <c r="H41" s="360">
        <v>1.9392157275761761E-2</v>
      </c>
      <c r="I41" s="119">
        <f t="shared" si="10"/>
        <v>0.94250707409627688</v>
      </c>
      <c r="J41" s="379">
        <f t="shared" si="0"/>
        <v>1</v>
      </c>
      <c r="K41" s="118">
        <f t="shared" si="11"/>
        <v>0.15621315137464187</v>
      </c>
      <c r="L41" s="118">
        <f t="shared" si="12"/>
        <v>7.9507844830623217E-2</v>
      </c>
      <c r="M41" s="118">
        <f t="shared" si="13"/>
        <v>3.864279003794735</v>
      </c>
      <c r="N41" s="118"/>
      <c r="R41" s="370">
        <v>20.6</v>
      </c>
    </row>
    <row r="42" spans="4:18" ht="16.5" thickBot="1" x14ac:dyDescent="0.35">
      <c r="D42" s="373"/>
      <c r="E42" s="138"/>
      <c r="F42" s="155"/>
      <c r="G42" s="360"/>
      <c r="H42" s="360"/>
      <c r="I42" s="119"/>
      <c r="J42" s="379">
        <f t="shared" si="0"/>
        <v>0</v>
      </c>
      <c r="K42" s="118"/>
      <c r="L42" s="118"/>
      <c r="M42" s="118"/>
      <c r="N42" s="118"/>
    </row>
    <row r="43" spans="4:18" ht="16.5" thickBot="1" x14ac:dyDescent="0.35">
      <c r="D43" s="157" t="s">
        <v>786</v>
      </c>
      <c r="E43" s="138" t="s">
        <v>538</v>
      </c>
      <c r="F43" s="139">
        <f>SUM(F44:F52)+F58</f>
        <v>270.64000000000004</v>
      </c>
      <c r="G43" s="169"/>
      <c r="H43" s="169"/>
      <c r="I43" s="170"/>
      <c r="J43" s="379">
        <f t="shared" si="0"/>
        <v>0</v>
      </c>
      <c r="K43" s="139">
        <f>SUM(K44:K52)+K58</f>
        <v>92.853366809505246</v>
      </c>
      <c r="L43" s="139">
        <f>SUM(L44:L52)+L58</f>
        <v>85.958422230879108</v>
      </c>
      <c r="M43" s="139">
        <f>SUM(M44:M52)+M58</f>
        <v>91.828210959615646</v>
      </c>
      <c r="N43" s="139"/>
      <c r="O43" s="359">
        <f>+M43/F43</f>
        <v>0.33930021785255554</v>
      </c>
      <c r="R43" s="368">
        <v>1350.7</v>
      </c>
    </row>
    <row r="44" spans="4:18" ht="16.5" thickBot="1" x14ac:dyDescent="0.35">
      <c r="D44" s="80" t="s">
        <v>785</v>
      </c>
      <c r="E44" s="138" t="s">
        <v>538</v>
      </c>
      <c r="F44" s="136">
        <f t="shared" ref="F44:F51" si="15">R44/5</f>
        <v>69.400000000000006</v>
      </c>
      <c r="G44" s="69">
        <v>0.31</v>
      </c>
      <c r="H44" s="69">
        <v>0.2</v>
      </c>
      <c r="I44" s="119">
        <f>1-G44-H44</f>
        <v>0.48999999999999994</v>
      </c>
      <c r="J44" s="379">
        <f t="shared" si="0"/>
        <v>1</v>
      </c>
      <c r="K44" s="118">
        <f t="shared" ref="K44:K51" si="16">F44-L44-M44</f>
        <v>21.514000000000003</v>
      </c>
      <c r="L44" s="118">
        <f t="shared" ref="L44:L51" si="17">H44*$F44</f>
        <v>13.880000000000003</v>
      </c>
      <c r="M44" s="118">
        <f t="shared" ref="M44:M51" si="18">IF(ISNUMBER(I44),I44*F44,F44)</f>
        <v>34.006</v>
      </c>
      <c r="N44" s="118"/>
      <c r="O44" s="87" t="s">
        <v>784</v>
      </c>
      <c r="R44" s="369">
        <v>347</v>
      </c>
    </row>
    <row r="45" spans="4:18" ht="16.5" thickBot="1" x14ac:dyDescent="0.35">
      <c r="D45" s="80" t="s">
        <v>783</v>
      </c>
      <c r="E45" s="138" t="s">
        <v>538</v>
      </c>
      <c r="F45" s="136">
        <f t="shared" si="15"/>
        <v>0.5</v>
      </c>
      <c r="G45" s="69"/>
      <c r="H45" s="69"/>
      <c r="I45" s="119" t="s">
        <v>256</v>
      </c>
      <c r="J45" s="379">
        <f t="shared" si="0"/>
        <v>1</v>
      </c>
      <c r="K45" s="118">
        <f t="shared" si="16"/>
        <v>0</v>
      </c>
      <c r="L45" s="118">
        <f t="shared" si="17"/>
        <v>0</v>
      </c>
      <c r="M45" s="118">
        <f t="shared" si="18"/>
        <v>0.5</v>
      </c>
      <c r="N45" s="118"/>
      <c r="R45" s="369">
        <v>2.5</v>
      </c>
    </row>
    <row r="46" spans="4:18" ht="16.5" thickBot="1" x14ac:dyDescent="0.35">
      <c r="D46" s="80" t="s">
        <v>782</v>
      </c>
      <c r="E46" s="138" t="s">
        <v>538</v>
      </c>
      <c r="F46" s="136">
        <f t="shared" si="15"/>
        <v>0.3</v>
      </c>
      <c r="G46" s="69"/>
      <c r="H46" s="69"/>
      <c r="I46" s="119" t="s">
        <v>256</v>
      </c>
      <c r="J46" s="379">
        <f t="shared" si="0"/>
        <v>1</v>
      </c>
      <c r="K46" s="118">
        <f t="shared" si="16"/>
        <v>0</v>
      </c>
      <c r="L46" s="118">
        <f t="shared" si="17"/>
        <v>0</v>
      </c>
      <c r="M46" s="118">
        <f t="shared" si="18"/>
        <v>0.3</v>
      </c>
      <c r="N46" s="118"/>
      <c r="R46" s="369">
        <v>1.5</v>
      </c>
    </row>
    <row r="47" spans="4:18" ht="16.5" thickBot="1" x14ac:dyDescent="0.35">
      <c r="D47" s="80" t="s">
        <v>781</v>
      </c>
      <c r="E47" s="138" t="s">
        <v>538</v>
      </c>
      <c r="F47" s="136">
        <f t="shared" si="15"/>
        <v>2.4</v>
      </c>
      <c r="G47" s="69"/>
      <c r="H47" s="69"/>
      <c r="I47" s="119" t="s">
        <v>256</v>
      </c>
      <c r="J47" s="379">
        <f t="shared" si="0"/>
        <v>1</v>
      </c>
      <c r="K47" s="118">
        <f t="shared" si="16"/>
        <v>0</v>
      </c>
      <c r="L47" s="118">
        <f t="shared" si="17"/>
        <v>0</v>
      </c>
      <c r="M47" s="118">
        <f t="shared" si="18"/>
        <v>2.4</v>
      </c>
      <c r="N47" s="118"/>
      <c r="R47" s="369">
        <v>12</v>
      </c>
    </row>
    <row r="48" spans="4:18" ht="16.5" thickBot="1" x14ac:dyDescent="0.35">
      <c r="D48" s="80" t="s">
        <v>780</v>
      </c>
      <c r="E48" s="138" t="s">
        <v>538</v>
      </c>
      <c r="F48" s="136">
        <f t="shared" si="15"/>
        <v>2</v>
      </c>
      <c r="G48" s="360">
        <v>6.7783404752629534E-2</v>
      </c>
      <c r="H48" s="360">
        <v>3.4411115439553303E-2</v>
      </c>
      <c r="I48" s="119">
        <f>1-G48-H48</f>
        <v>0.89780547980781711</v>
      </c>
      <c r="J48" s="379">
        <f t="shared" si="0"/>
        <v>1</v>
      </c>
      <c r="K48" s="118">
        <f t="shared" si="16"/>
        <v>0.13556680950525912</v>
      </c>
      <c r="L48" s="118">
        <f t="shared" si="17"/>
        <v>6.8822230879106605E-2</v>
      </c>
      <c r="M48" s="118">
        <f t="shared" si="18"/>
        <v>1.7956109596156342</v>
      </c>
      <c r="N48" s="118"/>
      <c r="O48" s="87" t="s">
        <v>775</v>
      </c>
      <c r="R48" s="369">
        <v>10</v>
      </c>
    </row>
    <row r="49" spans="4:18" ht="16.5" thickBot="1" x14ac:dyDescent="0.35">
      <c r="D49" s="80" t="s">
        <v>779</v>
      </c>
      <c r="E49" s="138" t="s">
        <v>538</v>
      </c>
      <c r="F49" s="136">
        <f t="shared" si="15"/>
        <v>3.12</v>
      </c>
      <c r="G49" s="69"/>
      <c r="H49" s="69"/>
      <c r="I49" s="119" t="s">
        <v>256</v>
      </c>
      <c r="J49" s="379">
        <f t="shared" si="0"/>
        <v>1</v>
      </c>
      <c r="K49" s="118">
        <f t="shared" si="16"/>
        <v>0</v>
      </c>
      <c r="L49" s="118">
        <f t="shared" si="17"/>
        <v>0</v>
      </c>
      <c r="M49" s="118">
        <f t="shared" si="18"/>
        <v>3.12</v>
      </c>
      <c r="N49" s="118"/>
      <c r="R49" s="369">
        <v>15.6</v>
      </c>
    </row>
    <row r="50" spans="4:18" ht="16.5" thickBot="1" x14ac:dyDescent="0.35">
      <c r="D50" s="80" t="s">
        <v>778</v>
      </c>
      <c r="E50" s="138" t="s">
        <v>538</v>
      </c>
      <c r="F50" s="136">
        <f t="shared" si="15"/>
        <v>6.9</v>
      </c>
      <c r="G50" s="69"/>
      <c r="H50" s="69"/>
      <c r="I50" s="119">
        <v>0</v>
      </c>
      <c r="J50" s="379">
        <f t="shared" si="0"/>
        <v>0</v>
      </c>
      <c r="K50" s="118">
        <f t="shared" si="16"/>
        <v>6.9</v>
      </c>
      <c r="L50" s="118">
        <f t="shared" si="17"/>
        <v>0</v>
      </c>
      <c r="M50" s="118">
        <f t="shared" si="18"/>
        <v>0</v>
      </c>
      <c r="N50" s="118"/>
      <c r="R50" s="369">
        <v>34.5</v>
      </c>
    </row>
    <row r="51" spans="4:18" ht="16.5" thickBot="1" x14ac:dyDescent="0.35">
      <c r="D51" s="80" t="s">
        <v>777</v>
      </c>
      <c r="E51" s="138" t="s">
        <v>538</v>
      </c>
      <c r="F51" s="136">
        <f t="shared" si="15"/>
        <v>0.2</v>
      </c>
      <c r="G51" s="69"/>
      <c r="H51" s="69"/>
      <c r="I51" s="119" t="s">
        <v>256</v>
      </c>
      <c r="J51" s="379">
        <f t="shared" si="0"/>
        <v>1</v>
      </c>
      <c r="K51" s="118">
        <f t="shared" si="16"/>
        <v>0</v>
      </c>
      <c r="L51" s="118">
        <f t="shared" si="17"/>
        <v>0</v>
      </c>
      <c r="M51" s="118">
        <f t="shared" si="18"/>
        <v>0.2</v>
      </c>
      <c r="N51" s="118"/>
      <c r="R51" s="369">
        <v>1</v>
      </c>
    </row>
    <row r="52" spans="4:18" ht="16.5" thickBot="1" x14ac:dyDescent="0.35">
      <c r="D52" s="80" t="s">
        <v>776</v>
      </c>
      <c r="E52" s="138" t="s">
        <v>538</v>
      </c>
      <c r="F52" s="136">
        <f>SUM(F53:F57)</f>
        <v>180.78</v>
      </c>
      <c r="G52" s="69"/>
      <c r="H52" s="69"/>
      <c r="I52" s="119"/>
      <c r="J52" s="379">
        <f t="shared" si="0"/>
        <v>0</v>
      </c>
      <c r="K52" s="136">
        <f>SUM(K53:K57)</f>
        <v>59.263799999999996</v>
      </c>
      <c r="L52" s="136">
        <f>SUM(L53:L57)</f>
        <v>72.009599999999992</v>
      </c>
      <c r="M52" s="136">
        <f>SUM(M53:M57)</f>
        <v>49.506600000000013</v>
      </c>
      <c r="N52" s="136"/>
      <c r="R52" s="369">
        <v>903.9</v>
      </c>
    </row>
    <row r="53" spans="4:18" ht="16.5" thickBot="1" x14ac:dyDescent="0.35">
      <c r="D53" s="374" t="s">
        <v>968</v>
      </c>
      <c r="E53" s="138" t="s">
        <v>538</v>
      </c>
      <c r="F53" s="155">
        <f>R53/5</f>
        <v>74.3</v>
      </c>
      <c r="G53" s="69">
        <v>0.19</v>
      </c>
      <c r="H53" s="69">
        <v>0.48</v>
      </c>
      <c r="I53" s="119">
        <f>1-G53-H53</f>
        <v>0.33000000000000007</v>
      </c>
      <c r="J53" s="379">
        <f t="shared" si="0"/>
        <v>1</v>
      </c>
      <c r="K53" s="118">
        <f>F53-L53-M53</f>
        <v>14.116999999999997</v>
      </c>
      <c r="L53" s="118">
        <f>H53*$F53</f>
        <v>35.663999999999994</v>
      </c>
      <c r="M53" s="118">
        <f>IF(ISNUMBER(I53),I53*F53,F53)</f>
        <v>24.519000000000005</v>
      </c>
      <c r="N53" s="118"/>
      <c r="O53" s="87" t="s">
        <v>775</v>
      </c>
      <c r="R53" s="369">
        <v>371.5</v>
      </c>
    </row>
    <row r="54" spans="4:18" ht="16.5" thickBot="1" x14ac:dyDescent="0.35">
      <c r="D54" s="375" t="s">
        <v>774</v>
      </c>
      <c r="E54" s="138" t="s">
        <v>538</v>
      </c>
      <c r="F54" s="155">
        <f>R54/5</f>
        <v>54.620000000000005</v>
      </c>
      <c r="G54" s="69">
        <v>0.19</v>
      </c>
      <c r="H54" s="69">
        <v>0.48</v>
      </c>
      <c r="I54" s="119">
        <f>1-G54-H54</f>
        <v>0.33000000000000007</v>
      </c>
      <c r="J54" s="379">
        <f t="shared" si="0"/>
        <v>1</v>
      </c>
      <c r="K54" s="118">
        <f>F54-L54-M54</f>
        <v>10.377799999999997</v>
      </c>
      <c r="L54" s="118">
        <f>H54*$F54</f>
        <v>26.217600000000001</v>
      </c>
      <c r="M54" s="118">
        <f>IF(ISNUMBER(I54),I54*F54,F54)</f>
        <v>18.024600000000007</v>
      </c>
      <c r="N54" s="118"/>
      <c r="R54" s="369">
        <v>273.10000000000002</v>
      </c>
    </row>
    <row r="55" spans="4:18" ht="16.5" thickBot="1" x14ac:dyDescent="0.35">
      <c r="D55" s="375" t="s">
        <v>773</v>
      </c>
      <c r="E55" s="138" t="s">
        <v>538</v>
      </c>
      <c r="F55" s="155">
        <f>R55/5</f>
        <v>30.76</v>
      </c>
      <c r="G55" s="69"/>
      <c r="H55" s="69"/>
      <c r="I55" s="119">
        <v>0</v>
      </c>
      <c r="J55" s="379">
        <f t="shared" si="0"/>
        <v>0</v>
      </c>
      <c r="K55" s="118">
        <f>F55-L55-M55</f>
        <v>30.76</v>
      </c>
      <c r="L55" s="118">
        <f>H55*$F55</f>
        <v>0</v>
      </c>
      <c r="M55" s="118">
        <f>IF(ISNUMBER(I55),I55*F55,F55)</f>
        <v>0</v>
      </c>
      <c r="N55" s="118"/>
      <c r="R55" s="369">
        <v>153.80000000000001</v>
      </c>
    </row>
    <row r="56" spans="4:18" ht="16.5" thickBot="1" x14ac:dyDescent="0.35">
      <c r="D56" s="375" t="s">
        <v>772</v>
      </c>
      <c r="E56" s="138" t="s">
        <v>538</v>
      </c>
      <c r="F56" s="155">
        <f>R56/5</f>
        <v>2.1</v>
      </c>
      <c r="G56" s="69">
        <v>0.19</v>
      </c>
      <c r="H56" s="69">
        <v>0.48</v>
      </c>
      <c r="I56" s="119">
        <f>1-G56-H56</f>
        <v>0.33000000000000007</v>
      </c>
      <c r="J56" s="379">
        <f t="shared" si="0"/>
        <v>1</v>
      </c>
      <c r="K56" s="118">
        <f>F56-L56-M56</f>
        <v>0.39899999999999991</v>
      </c>
      <c r="L56" s="118">
        <f>H56*$F56</f>
        <v>1.008</v>
      </c>
      <c r="M56" s="118">
        <f>IF(ISNUMBER(I56),I56*F56,F56)</f>
        <v>0.69300000000000017</v>
      </c>
      <c r="N56" s="118"/>
      <c r="R56" s="369">
        <v>10.5</v>
      </c>
    </row>
    <row r="57" spans="4:18" ht="16.5" thickBot="1" x14ac:dyDescent="0.35">
      <c r="D57" s="375" t="s">
        <v>771</v>
      </c>
      <c r="E57" s="138" t="s">
        <v>538</v>
      </c>
      <c r="F57" s="155">
        <f>R57/5</f>
        <v>19</v>
      </c>
      <c r="G57" s="69">
        <v>0.19</v>
      </c>
      <c r="H57" s="69">
        <v>0.48</v>
      </c>
      <c r="I57" s="119">
        <f>1-G57-H57</f>
        <v>0.33000000000000007</v>
      </c>
      <c r="J57" s="379">
        <f t="shared" si="0"/>
        <v>1</v>
      </c>
      <c r="K57" s="118">
        <f>F57-L57-M57</f>
        <v>3.6099999999999994</v>
      </c>
      <c r="L57" s="118">
        <f>H57*$F57</f>
        <v>9.1199999999999992</v>
      </c>
      <c r="M57" s="118">
        <f>IF(ISNUMBER(I57),I57*F57,F57)</f>
        <v>6.2700000000000014</v>
      </c>
      <c r="N57" s="118"/>
      <c r="R57" s="369">
        <v>95</v>
      </c>
    </row>
    <row r="58" spans="4:18" ht="16.5" thickBot="1" x14ac:dyDescent="0.35">
      <c r="D58" s="80" t="s">
        <v>770</v>
      </c>
      <c r="E58" s="138" t="s">
        <v>538</v>
      </c>
      <c r="F58" s="156">
        <f>SUM(F59:F64)</f>
        <v>5.0399999999999991</v>
      </c>
      <c r="G58" s="169"/>
      <c r="H58" s="169"/>
      <c r="I58" s="170"/>
      <c r="J58" s="379">
        <f t="shared" si="0"/>
        <v>0</v>
      </c>
      <c r="K58" s="156">
        <f>SUM(K59:K64)</f>
        <v>5.0399999999999991</v>
      </c>
      <c r="L58" s="156">
        <f>SUM(L59:L64)</f>
        <v>0</v>
      </c>
      <c r="M58" s="156">
        <f>SUM(M59:M64)</f>
        <v>0</v>
      </c>
      <c r="N58" s="156"/>
      <c r="R58" s="369">
        <v>25.2</v>
      </c>
    </row>
    <row r="59" spans="4:18" ht="16.5" thickBot="1" x14ac:dyDescent="0.35">
      <c r="D59" s="373" t="s">
        <v>769</v>
      </c>
      <c r="E59" s="138" t="s">
        <v>538</v>
      </c>
      <c r="F59" s="155">
        <f t="shared" ref="F59:F64" si="19">R59/5</f>
        <v>2.84</v>
      </c>
      <c r="G59" s="69"/>
      <c r="H59" s="69"/>
      <c r="I59" s="119">
        <v>0</v>
      </c>
      <c r="J59" s="379">
        <f t="shared" si="0"/>
        <v>0</v>
      </c>
      <c r="K59" s="118">
        <f t="shared" ref="K59:K64" si="20">F59-L59-M59</f>
        <v>2.84</v>
      </c>
      <c r="L59" s="118">
        <f t="shared" ref="L59:L64" si="21">H59*$F59</f>
        <v>0</v>
      </c>
      <c r="M59" s="118">
        <f t="shared" ref="M59:M64" si="22">IF(ISNUMBER(I59),I59*F59,F59)</f>
        <v>0</v>
      </c>
      <c r="N59" s="118"/>
      <c r="R59" s="369">
        <v>14.2</v>
      </c>
    </row>
    <row r="60" spans="4:18" ht="16.5" thickBot="1" x14ac:dyDescent="0.35">
      <c r="D60" s="373" t="s">
        <v>768</v>
      </c>
      <c r="E60" s="138" t="s">
        <v>538</v>
      </c>
      <c r="F60" s="155">
        <f t="shared" si="19"/>
        <v>1.78</v>
      </c>
      <c r="G60" s="69"/>
      <c r="H60" s="69"/>
      <c r="I60" s="119">
        <v>0</v>
      </c>
      <c r="J60" s="379">
        <f t="shared" si="0"/>
        <v>0</v>
      </c>
      <c r="K60" s="118">
        <f t="shared" si="20"/>
        <v>1.78</v>
      </c>
      <c r="L60" s="118">
        <f t="shared" si="21"/>
        <v>0</v>
      </c>
      <c r="M60" s="118">
        <f t="shared" si="22"/>
        <v>0</v>
      </c>
      <c r="N60" s="118"/>
      <c r="R60" s="369">
        <v>8.9</v>
      </c>
    </row>
    <row r="61" spans="4:18" ht="16.5" thickBot="1" x14ac:dyDescent="0.35">
      <c r="D61" s="373" t="s">
        <v>767</v>
      </c>
      <c r="E61" s="138" t="s">
        <v>538</v>
      </c>
      <c r="F61" s="155">
        <f t="shared" si="19"/>
        <v>0.04</v>
      </c>
      <c r="G61" s="69"/>
      <c r="H61" s="69"/>
      <c r="I61" s="119">
        <v>0</v>
      </c>
      <c r="J61" s="379">
        <f t="shared" si="0"/>
        <v>0</v>
      </c>
      <c r="K61" s="118">
        <f t="shared" si="20"/>
        <v>0.04</v>
      </c>
      <c r="L61" s="118">
        <f t="shared" si="21"/>
        <v>0</v>
      </c>
      <c r="M61" s="118">
        <f t="shared" si="22"/>
        <v>0</v>
      </c>
      <c r="N61" s="118"/>
      <c r="R61" s="369">
        <v>0.2</v>
      </c>
    </row>
    <row r="62" spans="4:18" ht="16.5" thickBot="1" x14ac:dyDescent="0.35">
      <c r="D62" s="373" t="s">
        <v>766</v>
      </c>
      <c r="E62" s="138" t="s">
        <v>538</v>
      </c>
      <c r="F62" s="155">
        <f t="shared" si="19"/>
        <v>0.3</v>
      </c>
      <c r="G62" s="69"/>
      <c r="H62" s="69"/>
      <c r="I62" s="119">
        <v>0</v>
      </c>
      <c r="J62" s="379">
        <f t="shared" si="0"/>
        <v>0</v>
      </c>
      <c r="K62" s="118">
        <f t="shared" si="20"/>
        <v>0.3</v>
      </c>
      <c r="L62" s="118">
        <f t="shared" si="21"/>
        <v>0</v>
      </c>
      <c r="M62" s="118">
        <f t="shared" si="22"/>
        <v>0</v>
      </c>
      <c r="N62" s="118"/>
      <c r="R62" s="369">
        <v>1.5</v>
      </c>
    </row>
    <row r="63" spans="4:18" ht="16.5" thickBot="1" x14ac:dyDescent="0.35">
      <c r="D63" s="373" t="s">
        <v>765</v>
      </c>
      <c r="E63" s="138" t="s">
        <v>538</v>
      </c>
      <c r="F63" s="155">
        <f t="shared" si="19"/>
        <v>0.02</v>
      </c>
      <c r="G63" s="69"/>
      <c r="H63" s="69"/>
      <c r="I63" s="119">
        <v>0</v>
      </c>
      <c r="J63" s="379">
        <f t="shared" si="0"/>
        <v>0</v>
      </c>
      <c r="K63" s="118">
        <f t="shared" si="20"/>
        <v>0.02</v>
      </c>
      <c r="L63" s="118">
        <f t="shared" si="21"/>
        <v>0</v>
      </c>
      <c r="M63" s="118">
        <f t="shared" si="22"/>
        <v>0</v>
      </c>
      <c r="N63" s="118"/>
      <c r="R63" s="369">
        <v>0.1</v>
      </c>
    </row>
    <row r="64" spans="4:18" ht="16.5" thickBot="1" x14ac:dyDescent="0.35">
      <c r="D64" s="373" t="s">
        <v>764</v>
      </c>
      <c r="E64" s="138" t="s">
        <v>538</v>
      </c>
      <c r="F64" s="155">
        <f t="shared" si="19"/>
        <v>0.06</v>
      </c>
      <c r="G64" s="69"/>
      <c r="H64" s="69"/>
      <c r="I64" s="119">
        <v>0</v>
      </c>
      <c r="J64" s="379">
        <f t="shared" si="0"/>
        <v>0</v>
      </c>
      <c r="K64" s="118">
        <f t="shared" si="20"/>
        <v>0.06</v>
      </c>
      <c r="L64" s="118">
        <f t="shared" si="21"/>
        <v>0</v>
      </c>
      <c r="M64" s="118">
        <f t="shared" si="22"/>
        <v>0</v>
      </c>
      <c r="N64" s="118"/>
      <c r="R64" s="369">
        <v>0.3</v>
      </c>
    </row>
    <row r="65" spans="3:16" x14ac:dyDescent="0.3">
      <c r="C65" s="87" t="s">
        <v>1</v>
      </c>
      <c r="D65" s="73" t="s">
        <v>462</v>
      </c>
      <c r="E65" s="73" t="s">
        <v>462</v>
      </c>
      <c r="F65" s="84">
        <f>F66+F86+F93+F124+F137</f>
        <v>1769.16</v>
      </c>
      <c r="G65" s="171"/>
      <c r="H65" s="171"/>
      <c r="I65" s="171"/>
      <c r="J65" s="418"/>
      <c r="K65" s="84">
        <f>K66+K86+K93+K124+K137</f>
        <v>1358.7478800959464</v>
      </c>
      <c r="L65" s="84">
        <f>L66+L86+L93+L124+L137</f>
        <v>11.712310859911781</v>
      </c>
      <c r="M65" s="84">
        <f>M66+M86+M93+M124+M137</f>
        <v>398.69980904414166</v>
      </c>
      <c r="N65" s="84"/>
      <c r="O65" s="359">
        <f>+M65/F65</f>
        <v>0.22536108042468836</v>
      </c>
      <c r="P65" s="87" t="s">
        <v>763</v>
      </c>
    </row>
    <row r="66" spans="3:16" x14ac:dyDescent="0.3">
      <c r="D66" s="11" t="s">
        <v>762</v>
      </c>
      <c r="E66" s="138" t="s">
        <v>462</v>
      </c>
      <c r="F66" s="154">
        <f>F67+F71+F75</f>
        <v>716.8</v>
      </c>
      <c r="G66" s="169"/>
      <c r="H66" s="169"/>
      <c r="I66" s="170"/>
      <c r="J66" s="379"/>
      <c r="K66" s="154">
        <f>K67+K71+K75</f>
        <v>716.8</v>
      </c>
      <c r="L66" s="154">
        <f>L67+L71+L75</f>
        <v>0</v>
      </c>
      <c r="M66" s="154">
        <f>M67+M71+M75</f>
        <v>0</v>
      </c>
      <c r="N66" s="154"/>
    </row>
    <row r="67" spans="3:16" outlineLevel="1" x14ac:dyDescent="0.3">
      <c r="D67" s="63" t="s">
        <v>761</v>
      </c>
      <c r="E67" s="138" t="s">
        <v>462</v>
      </c>
      <c r="F67" s="150">
        <f>SUM(F68:F70)</f>
        <v>698</v>
      </c>
      <c r="G67" s="169"/>
      <c r="H67" s="169"/>
      <c r="I67" s="170"/>
      <c r="J67" s="379"/>
      <c r="K67" s="150">
        <f>SUM(K68:K70)</f>
        <v>698</v>
      </c>
      <c r="L67" s="150">
        <f>SUM(L68:L70)</f>
        <v>0</v>
      </c>
      <c r="M67" s="150">
        <f>SUM(M68:M70)</f>
        <v>0</v>
      </c>
      <c r="N67" s="150"/>
    </row>
    <row r="68" spans="3:16" outlineLevel="1" x14ac:dyDescent="0.3">
      <c r="D68" s="151" t="s">
        <v>759</v>
      </c>
      <c r="E68" s="138" t="s">
        <v>462</v>
      </c>
      <c r="F68" s="152">
        <v>442.4</v>
      </c>
      <c r="G68" s="69"/>
      <c r="H68" s="69"/>
      <c r="I68" s="119">
        <v>0</v>
      </c>
      <c r="J68" s="379">
        <f t="shared" si="0"/>
        <v>0</v>
      </c>
      <c r="K68" s="118">
        <f>F68-L68-M68</f>
        <v>442.4</v>
      </c>
      <c r="L68" s="118">
        <f>H68*$F68</f>
        <v>0</v>
      </c>
      <c r="M68" s="118">
        <f>IF(ISNUMBER(I68),I68*F68,F68)</f>
        <v>0</v>
      </c>
      <c r="N68" s="118"/>
    </row>
    <row r="69" spans="3:16" outlineLevel="1" x14ac:dyDescent="0.3">
      <c r="D69" s="151" t="s">
        <v>758</v>
      </c>
      <c r="E69" s="138" t="s">
        <v>462</v>
      </c>
      <c r="F69" s="152">
        <v>114.4</v>
      </c>
      <c r="G69" s="69"/>
      <c r="H69" s="69"/>
      <c r="I69" s="119">
        <v>0</v>
      </c>
      <c r="J69" s="379">
        <f t="shared" si="0"/>
        <v>0</v>
      </c>
      <c r="K69" s="118">
        <f>F69-L69-M69</f>
        <v>114.4</v>
      </c>
      <c r="L69" s="118">
        <f>H69*$F69</f>
        <v>0</v>
      </c>
      <c r="M69" s="118">
        <f>IF(ISNUMBER(I69),I69*F69,F69)</f>
        <v>0</v>
      </c>
      <c r="N69" s="118"/>
    </row>
    <row r="70" spans="3:16" outlineLevel="1" x14ac:dyDescent="0.3">
      <c r="D70" s="151" t="s">
        <v>757</v>
      </c>
      <c r="E70" s="138" t="s">
        <v>462</v>
      </c>
      <c r="F70" s="152">
        <v>141.19999999999999</v>
      </c>
      <c r="G70" s="69"/>
      <c r="H70" s="69"/>
      <c r="I70" s="119">
        <v>0</v>
      </c>
      <c r="J70" s="379">
        <f t="shared" si="0"/>
        <v>0</v>
      </c>
      <c r="K70" s="118">
        <f>F70-L70-M70</f>
        <v>141.19999999999999</v>
      </c>
      <c r="L70" s="118">
        <f>H70*$F70</f>
        <v>0</v>
      </c>
      <c r="M70" s="118">
        <f>IF(ISNUMBER(I70),I70*F70,F70)</f>
        <v>0</v>
      </c>
      <c r="N70" s="118"/>
    </row>
    <row r="71" spans="3:16" outlineLevel="1" x14ac:dyDescent="0.3">
      <c r="D71" s="63" t="s">
        <v>760</v>
      </c>
      <c r="E71" s="138" t="s">
        <v>462</v>
      </c>
      <c r="F71" s="150">
        <f>SUM(F72:F74)</f>
        <v>9.7999999999999989</v>
      </c>
      <c r="G71" s="169"/>
      <c r="H71" s="169"/>
      <c r="I71" s="170"/>
      <c r="J71" s="379"/>
      <c r="K71" s="150">
        <f>SUM(K72:K74)</f>
        <v>9.7999999999999989</v>
      </c>
      <c r="L71" s="150">
        <f>SUM(L72:L74)</f>
        <v>0</v>
      </c>
      <c r="M71" s="150">
        <f>SUM(M72:M74)</f>
        <v>0</v>
      </c>
      <c r="N71" s="150"/>
    </row>
    <row r="72" spans="3:16" outlineLevel="1" x14ac:dyDescent="0.3">
      <c r="D72" s="151" t="s">
        <v>759</v>
      </c>
      <c r="E72" s="138" t="s">
        <v>462</v>
      </c>
      <c r="F72" s="152">
        <v>9.1999999999999993</v>
      </c>
      <c r="G72" s="69"/>
      <c r="H72" s="69"/>
      <c r="I72" s="119">
        <v>0</v>
      </c>
      <c r="J72" s="379">
        <f t="shared" si="0"/>
        <v>0</v>
      </c>
      <c r="K72" s="118">
        <f>F72-L72-M72</f>
        <v>9.1999999999999993</v>
      </c>
      <c r="L72" s="118">
        <f>H72*$F72</f>
        <v>0</v>
      </c>
      <c r="M72" s="118">
        <f>IF(ISNUMBER(I72),I72*F72,F72)</f>
        <v>0</v>
      </c>
      <c r="N72" s="118"/>
    </row>
    <row r="73" spans="3:16" outlineLevel="1" x14ac:dyDescent="0.3">
      <c r="D73" s="151" t="s">
        <v>758</v>
      </c>
      <c r="E73" s="138" t="s">
        <v>462</v>
      </c>
      <c r="F73" s="152">
        <v>0.4</v>
      </c>
      <c r="G73" s="69"/>
      <c r="H73" s="69"/>
      <c r="I73" s="119">
        <v>0</v>
      </c>
      <c r="J73" s="379">
        <f t="shared" si="0"/>
        <v>0</v>
      </c>
      <c r="K73" s="118">
        <f>F73-L73-M73</f>
        <v>0.4</v>
      </c>
      <c r="L73" s="118">
        <f>H73*$F73</f>
        <v>0</v>
      </c>
      <c r="M73" s="118">
        <f>IF(ISNUMBER(I73),I73*F73,F73)</f>
        <v>0</v>
      </c>
      <c r="N73" s="118"/>
    </row>
    <row r="74" spans="3:16" outlineLevel="1" x14ac:dyDescent="0.3">
      <c r="D74" s="151" t="s">
        <v>757</v>
      </c>
      <c r="E74" s="138" t="s">
        <v>462</v>
      </c>
      <c r="F74" s="152">
        <v>0.2</v>
      </c>
      <c r="G74" s="69"/>
      <c r="H74" s="69"/>
      <c r="I74" s="119">
        <v>0</v>
      </c>
      <c r="J74" s="379">
        <f t="shared" ref="J74:J135" si="23">+IF(I74&lt;&gt;0, 1,0)</f>
        <v>0</v>
      </c>
      <c r="K74" s="118">
        <f>F74-L74-M74</f>
        <v>0.2</v>
      </c>
      <c r="L74" s="118">
        <f>H74*$F74</f>
        <v>0</v>
      </c>
      <c r="M74" s="118">
        <f>IF(ISNUMBER(I74),I74*F74,F74)</f>
        <v>0</v>
      </c>
      <c r="N74" s="118"/>
    </row>
    <row r="75" spans="3:16" outlineLevel="1" x14ac:dyDescent="0.3">
      <c r="D75" s="63" t="s">
        <v>756</v>
      </c>
      <c r="E75" s="138" t="s">
        <v>462</v>
      </c>
      <c r="F75" s="150">
        <f>SUM(F76:F84)</f>
        <v>8.9999999999999982</v>
      </c>
      <c r="G75" s="169"/>
      <c r="H75" s="169"/>
      <c r="I75" s="170"/>
      <c r="J75" s="379"/>
      <c r="K75" s="150">
        <f>SUM(K76:K84)</f>
        <v>8.9999999999999982</v>
      </c>
      <c r="L75" s="150">
        <f>SUM(L76:L84)</f>
        <v>0</v>
      </c>
      <c r="M75" s="150">
        <f>SUM(M76:M84)</f>
        <v>0</v>
      </c>
      <c r="N75" s="150"/>
    </row>
    <row r="76" spans="3:16" outlineLevel="1" x14ac:dyDescent="0.3">
      <c r="D76" s="151" t="s">
        <v>755</v>
      </c>
      <c r="E76" s="138" t="s">
        <v>462</v>
      </c>
      <c r="F76" s="152">
        <v>0.1</v>
      </c>
      <c r="G76" s="69"/>
      <c r="H76" s="69"/>
      <c r="I76" s="119">
        <v>0</v>
      </c>
      <c r="J76" s="379">
        <f t="shared" si="23"/>
        <v>0</v>
      </c>
      <c r="K76" s="118">
        <f t="shared" ref="K76:K84" si="24">F76-L76-M76</f>
        <v>0.1</v>
      </c>
      <c r="L76" s="118">
        <f t="shared" ref="L76:L84" si="25">H76*$F76</f>
        <v>0</v>
      </c>
      <c r="M76" s="118">
        <f t="shared" ref="M76:M84" si="26">IF(ISNUMBER(I76),I76*F76,F76)</f>
        <v>0</v>
      </c>
      <c r="N76" s="118"/>
    </row>
    <row r="77" spans="3:16" outlineLevel="1" x14ac:dyDescent="0.3">
      <c r="D77" s="151" t="s">
        <v>969</v>
      </c>
      <c r="E77" s="138" t="s">
        <v>462</v>
      </c>
      <c r="F77" s="152">
        <v>1</v>
      </c>
      <c r="G77" s="69"/>
      <c r="H77" s="69"/>
      <c r="I77" s="119">
        <v>0</v>
      </c>
      <c r="J77" s="379">
        <f t="shared" si="23"/>
        <v>0</v>
      </c>
      <c r="K77" s="118">
        <f t="shared" si="24"/>
        <v>1</v>
      </c>
      <c r="L77" s="118">
        <f t="shared" si="25"/>
        <v>0</v>
      </c>
      <c r="M77" s="118">
        <f t="shared" si="26"/>
        <v>0</v>
      </c>
      <c r="N77" s="118"/>
    </row>
    <row r="78" spans="3:16" outlineLevel="1" x14ac:dyDescent="0.3">
      <c r="D78" s="151" t="s">
        <v>970</v>
      </c>
      <c r="E78" s="138" t="s">
        <v>462</v>
      </c>
      <c r="F78" s="152">
        <v>0.6</v>
      </c>
      <c r="G78" s="69"/>
      <c r="H78" s="69"/>
      <c r="I78" s="119">
        <v>0</v>
      </c>
      <c r="J78" s="379">
        <f t="shared" si="23"/>
        <v>0</v>
      </c>
      <c r="K78" s="118">
        <f t="shared" si="24"/>
        <v>0.6</v>
      </c>
      <c r="L78" s="118">
        <f t="shared" si="25"/>
        <v>0</v>
      </c>
      <c r="M78" s="118">
        <f t="shared" si="26"/>
        <v>0</v>
      </c>
      <c r="N78" s="118"/>
    </row>
    <row r="79" spans="3:16" outlineLevel="1" x14ac:dyDescent="0.3">
      <c r="D79" s="151" t="s">
        <v>971</v>
      </c>
      <c r="E79" s="138" t="s">
        <v>462</v>
      </c>
      <c r="F79" s="152">
        <v>3.9</v>
      </c>
      <c r="G79" s="69"/>
      <c r="H79" s="69"/>
      <c r="I79" s="119">
        <v>0</v>
      </c>
      <c r="J79" s="379">
        <f t="shared" si="23"/>
        <v>0</v>
      </c>
      <c r="K79" s="118">
        <f t="shared" si="24"/>
        <v>3.9</v>
      </c>
      <c r="L79" s="118">
        <f t="shared" si="25"/>
        <v>0</v>
      </c>
      <c r="M79" s="118">
        <f t="shared" si="26"/>
        <v>0</v>
      </c>
      <c r="N79" s="118"/>
    </row>
    <row r="80" spans="3:16" outlineLevel="1" x14ac:dyDescent="0.3">
      <c r="D80" s="151" t="s">
        <v>972</v>
      </c>
      <c r="E80" s="138" t="s">
        <v>462</v>
      </c>
      <c r="F80" s="152">
        <v>2</v>
      </c>
      <c r="G80" s="69"/>
      <c r="H80" s="69"/>
      <c r="I80" s="119">
        <v>0</v>
      </c>
      <c r="J80" s="379">
        <f t="shared" si="23"/>
        <v>0</v>
      </c>
      <c r="K80" s="118">
        <f t="shared" si="24"/>
        <v>2</v>
      </c>
      <c r="L80" s="118">
        <f t="shared" si="25"/>
        <v>0</v>
      </c>
      <c r="M80" s="118">
        <f t="shared" si="26"/>
        <v>0</v>
      </c>
      <c r="N80" s="118"/>
    </row>
    <row r="81" spans="4:15" outlineLevel="1" x14ac:dyDescent="0.3">
      <c r="D81" s="151" t="s">
        <v>973</v>
      </c>
      <c r="E81" s="138" t="s">
        <v>462</v>
      </c>
      <c r="F81" s="152">
        <v>0.7</v>
      </c>
      <c r="G81" s="69"/>
      <c r="H81" s="69"/>
      <c r="I81" s="119">
        <v>0</v>
      </c>
      <c r="J81" s="379">
        <f t="shared" si="23"/>
        <v>0</v>
      </c>
      <c r="K81" s="118">
        <f t="shared" si="24"/>
        <v>0.7</v>
      </c>
      <c r="L81" s="118">
        <f t="shared" si="25"/>
        <v>0</v>
      </c>
      <c r="M81" s="118">
        <f t="shared" si="26"/>
        <v>0</v>
      </c>
      <c r="N81" s="118"/>
    </row>
    <row r="82" spans="4:15" outlineLevel="1" x14ac:dyDescent="0.3">
      <c r="D82" s="151" t="s">
        <v>974</v>
      </c>
      <c r="E82" s="138" t="s">
        <v>462</v>
      </c>
      <c r="F82" s="152">
        <v>0.2</v>
      </c>
      <c r="G82" s="69"/>
      <c r="H82" s="69"/>
      <c r="I82" s="119">
        <v>0</v>
      </c>
      <c r="J82" s="379">
        <f t="shared" si="23"/>
        <v>0</v>
      </c>
      <c r="K82" s="118">
        <f t="shared" si="24"/>
        <v>0.2</v>
      </c>
      <c r="L82" s="118">
        <f t="shared" si="25"/>
        <v>0</v>
      </c>
      <c r="M82" s="118">
        <f t="shared" si="26"/>
        <v>0</v>
      </c>
      <c r="N82" s="118"/>
    </row>
    <row r="83" spans="4:15" outlineLevel="1" x14ac:dyDescent="0.3">
      <c r="D83" s="151" t="s">
        <v>975</v>
      </c>
      <c r="E83" s="138" t="s">
        <v>462</v>
      </c>
      <c r="F83" s="152">
        <v>0.5</v>
      </c>
      <c r="G83" s="69"/>
      <c r="H83" s="69"/>
      <c r="I83" s="119">
        <v>0</v>
      </c>
      <c r="J83" s="379">
        <f t="shared" si="23"/>
        <v>0</v>
      </c>
      <c r="K83" s="118">
        <f t="shared" si="24"/>
        <v>0.5</v>
      </c>
      <c r="L83" s="118">
        <f t="shared" si="25"/>
        <v>0</v>
      </c>
      <c r="M83" s="118">
        <f t="shared" si="26"/>
        <v>0</v>
      </c>
      <c r="N83" s="118"/>
    </row>
    <row r="84" spans="4:15" outlineLevel="1" x14ac:dyDescent="0.3">
      <c r="D84" s="151" t="s">
        <v>976</v>
      </c>
      <c r="E84" s="138" t="s">
        <v>462</v>
      </c>
      <c r="F84" s="152">
        <v>0</v>
      </c>
      <c r="G84" s="69"/>
      <c r="H84" s="69"/>
      <c r="I84" s="119">
        <v>0</v>
      </c>
      <c r="J84" s="379">
        <f t="shared" si="23"/>
        <v>0</v>
      </c>
      <c r="K84" s="118">
        <f t="shared" si="24"/>
        <v>0</v>
      </c>
      <c r="L84" s="118">
        <f t="shared" si="25"/>
        <v>0</v>
      </c>
      <c r="M84" s="118">
        <f t="shared" si="26"/>
        <v>0</v>
      </c>
      <c r="N84" s="118"/>
    </row>
    <row r="85" spans="4:15" outlineLevel="1" x14ac:dyDescent="0.3">
      <c r="D85" s="151"/>
      <c r="E85" s="138"/>
      <c r="F85" s="152"/>
      <c r="G85" s="69"/>
      <c r="H85" s="69"/>
      <c r="I85" s="119"/>
      <c r="J85" s="379"/>
      <c r="K85" s="155"/>
      <c r="L85" s="155"/>
      <c r="M85" s="155"/>
      <c r="N85" s="155"/>
    </row>
    <row r="86" spans="4:15" x14ac:dyDescent="0.3">
      <c r="D86" s="11" t="s">
        <v>754</v>
      </c>
      <c r="E86" s="138" t="s">
        <v>462</v>
      </c>
      <c r="F86" s="154">
        <f>SUM(F87:F91)</f>
        <v>196.6</v>
      </c>
      <c r="G86" s="169"/>
      <c r="H86" s="169"/>
      <c r="I86" s="170"/>
      <c r="J86" s="379"/>
      <c r="K86" s="154">
        <f>SUM(K87:K91)</f>
        <v>196.6</v>
      </c>
      <c r="L86" s="154">
        <f>SUM(L87:L91)</f>
        <v>0</v>
      </c>
      <c r="M86" s="154">
        <f>SUM(M87:M91)</f>
        <v>0</v>
      </c>
      <c r="N86" s="154"/>
      <c r="O86" s="359">
        <f>+M86/F86</f>
        <v>0</v>
      </c>
    </row>
    <row r="87" spans="4:15" outlineLevel="1" x14ac:dyDescent="0.3">
      <c r="D87" s="63" t="s">
        <v>753</v>
      </c>
      <c r="E87" s="138" t="s">
        <v>462</v>
      </c>
      <c r="F87" s="150">
        <v>163.9</v>
      </c>
      <c r="G87" s="69"/>
      <c r="H87" s="69"/>
      <c r="I87" s="119">
        <v>0</v>
      </c>
      <c r="J87" s="379">
        <f t="shared" si="23"/>
        <v>0</v>
      </c>
      <c r="K87" s="118">
        <f>F87-L87-M87</f>
        <v>163.9</v>
      </c>
      <c r="L87" s="118">
        <f>H87*$F87</f>
        <v>0</v>
      </c>
      <c r="M87" s="118">
        <f>IF(ISNUMBER(I87),I87*F87,F87)</f>
        <v>0</v>
      </c>
      <c r="N87" s="118"/>
    </row>
    <row r="88" spans="4:15" outlineLevel="1" x14ac:dyDescent="0.3">
      <c r="D88" s="63" t="s">
        <v>752</v>
      </c>
      <c r="E88" s="138" t="s">
        <v>462</v>
      </c>
      <c r="F88" s="150">
        <v>25.3</v>
      </c>
      <c r="G88" s="69"/>
      <c r="H88" s="69"/>
      <c r="I88" s="119">
        <v>0</v>
      </c>
      <c r="J88" s="379">
        <f t="shared" si="23"/>
        <v>0</v>
      </c>
      <c r="K88" s="118">
        <f>F88-L88-M88</f>
        <v>25.3</v>
      </c>
      <c r="L88" s="118">
        <f>H88*$F88</f>
        <v>0</v>
      </c>
      <c r="M88" s="118">
        <f>IF(ISNUMBER(I88),I88*F88,F88)</f>
        <v>0</v>
      </c>
      <c r="N88" s="118"/>
    </row>
    <row r="89" spans="4:15" outlineLevel="1" x14ac:dyDescent="0.3">
      <c r="D89" s="63" t="s">
        <v>751</v>
      </c>
      <c r="E89" s="138" t="s">
        <v>462</v>
      </c>
      <c r="F89" s="150">
        <v>0.6</v>
      </c>
      <c r="G89" s="69"/>
      <c r="H89" s="69"/>
      <c r="I89" s="119">
        <v>0</v>
      </c>
      <c r="J89" s="379">
        <f t="shared" si="23"/>
        <v>0</v>
      </c>
      <c r="K89" s="118">
        <f>F89-L89-M89</f>
        <v>0.6</v>
      </c>
      <c r="L89" s="118">
        <f>H89*$F89</f>
        <v>0</v>
      </c>
      <c r="M89" s="118">
        <f>IF(ISNUMBER(I89),I89*F89,F89)</f>
        <v>0</v>
      </c>
      <c r="N89" s="118"/>
    </row>
    <row r="90" spans="4:15" outlineLevel="1" x14ac:dyDescent="0.3">
      <c r="D90" s="63" t="s">
        <v>750</v>
      </c>
      <c r="E90" s="138" t="s">
        <v>462</v>
      </c>
      <c r="F90" s="150">
        <v>1.7</v>
      </c>
      <c r="G90" s="69"/>
      <c r="H90" s="69"/>
      <c r="I90" s="119">
        <v>0</v>
      </c>
      <c r="J90" s="379">
        <f t="shared" si="23"/>
        <v>0</v>
      </c>
      <c r="K90" s="118">
        <f>F90-L90-M90</f>
        <v>1.7</v>
      </c>
      <c r="L90" s="118">
        <f>H90*$F90</f>
        <v>0</v>
      </c>
      <c r="M90" s="118">
        <f>IF(ISNUMBER(I90),I90*F90,F90)</f>
        <v>0</v>
      </c>
      <c r="N90" s="118"/>
    </row>
    <row r="91" spans="4:15" outlineLevel="1" x14ac:dyDescent="0.3">
      <c r="D91" s="63" t="s">
        <v>749</v>
      </c>
      <c r="E91" s="138" t="s">
        <v>462</v>
      </c>
      <c r="F91" s="150">
        <v>5.0999999999999996</v>
      </c>
      <c r="G91" s="69"/>
      <c r="H91" s="69"/>
      <c r="I91" s="119">
        <v>0</v>
      </c>
      <c r="J91" s="379">
        <f t="shared" si="23"/>
        <v>0</v>
      </c>
      <c r="K91" s="118">
        <f>F91-L91-M91</f>
        <v>5.0999999999999996</v>
      </c>
      <c r="L91" s="118">
        <f>H91*$F91</f>
        <v>0</v>
      </c>
      <c r="M91" s="118">
        <f>IF(ISNUMBER(I91),I91*F91,F91)</f>
        <v>0</v>
      </c>
      <c r="N91" s="118"/>
    </row>
    <row r="92" spans="4:15" outlineLevel="1" x14ac:dyDescent="0.3">
      <c r="D92" s="63"/>
      <c r="E92" s="138"/>
      <c r="F92" s="150"/>
      <c r="G92" s="69"/>
      <c r="H92" s="69"/>
      <c r="I92" s="119"/>
      <c r="J92" s="379"/>
      <c r="K92" s="155"/>
      <c r="L92" s="155"/>
      <c r="M92" s="155"/>
      <c r="N92" s="155"/>
    </row>
    <row r="93" spans="4:15" x14ac:dyDescent="0.3">
      <c r="D93" s="11" t="s">
        <v>977</v>
      </c>
      <c r="E93" s="138" t="s">
        <v>462</v>
      </c>
      <c r="F93" s="154">
        <f>F94+F110+F115</f>
        <v>196.86</v>
      </c>
      <c r="G93" s="169"/>
      <c r="H93" s="169"/>
      <c r="I93" s="170"/>
      <c r="J93" s="379"/>
      <c r="K93" s="154">
        <f>K94+K110+K115</f>
        <v>196.86</v>
      </c>
      <c r="L93" s="154">
        <f>L94+L110+L115</f>
        <v>0</v>
      </c>
      <c r="M93" s="154">
        <f>M94+M110+M115</f>
        <v>0</v>
      </c>
      <c r="N93" s="154"/>
      <c r="O93" s="359">
        <f>+M93/F93</f>
        <v>0</v>
      </c>
    </row>
    <row r="94" spans="4:15" outlineLevel="1" x14ac:dyDescent="0.3">
      <c r="D94" s="63" t="s">
        <v>748</v>
      </c>
      <c r="E94" s="138" t="s">
        <v>462</v>
      </c>
      <c r="F94" s="150">
        <f>SUM(F95:F109)</f>
        <v>190.4</v>
      </c>
      <c r="G94" s="169"/>
      <c r="H94" s="169"/>
      <c r="I94" s="170"/>
      <c r="J94" s="379"/>
      <c r="K94" s="150">
        <f>SUM(K95:K109)</f>
        <v>190.4</v>
      </c>
      <c r="L94" s="150">
        <f>SUM(L95:L109)</f>
        <v>0</v>
      </c>
      <c r="M94" s="150">
        <f>SUM(M95:M109)</f>
        <v>0</v>
      </c>
      <c r="N94" s="150"/>
    </row>
    <row r="95" spans="4:15" outlineLevel="1" x14ac:dyDescent="0.3">
      <c r="D95" s="151" t="s">
        <v>747</v>
      </c>
      <c r="E95" s="138" t="s">
        <v>462</v>
      </c>
      <c r="F95" s="152">
        <v>31.1</v>
      </c>
      <c r="G95" s="69"/>
      <c r="H95" s="69"/>
      <c r="I95" s="119">
        <v>0</v>
      </c>
      <c r="J95" s="379">
        <f t="shared" si="23"/>
        <v>0</v>
      </c>
      <c r="K95" s="118">
        <f t="shared" ref="K95:K109" si="27">F95-L95-M95</f>
        <v>31.1</v>
      </c>
      <c r="L95" s="118">
        <f t="shared" ref="L95:L109" si="28">H95*$F95</f>
        <v>0</v>
      </c>
      <c r="M95" s="118">
        <f t="shared" ref="M95:M109" si="29">IF(ISNUMBER(I95),I95*F95,F95)</f>
        <v>0</v>
      </c>
      <c r="N95" s="118"/>
    </row>
    <row r="96" spans="4:15" outlineLevel="1" x14ac:dyDescent="0.3">
      <c r="D96" s="151" t="s">
        <v>746</v>
      </c>
      <c r="E96" s="138" t="s">
        <v>462</v>
      </c>
      <c r="F96" s="152">
        <v>1.8</v>
      </c>
      <c r="G96" s="69"/>
      <c r="H96" s="69"/>
      <c r="I96" s="119">
        <v>0</v>
      </c>
      <c r="J96" s="379">
        <f t="shared" si="23"/>
        <v>0</v>
      </c>
      <c r="K96" s="118">
        <f t="shared" si="27"/>
        <v>1.8</v>
      </c>
      <c r="L96" s="118">
        <f t="shared" si="28"/>
        <v>0</v>
      </c>
      <c r="M96" s="118">
        <f t="shared" si="29"/>
        <v>0</v>
      </c>
      <c r="N96" s="118"/>
    </row>
    <row r="97" spans="4:14" outlineLevel="1" x14ac:dyDescent="0.3">
      <c r="D97" s="151" t="s">
        <v>745</v>
      </c>
      <c r="E97" s="138" t="s">
        <v>462</v>
      </c>
      <c r="F97" s="152">
        <v>0.7</v>
      </c>
      <c r="G97" s="69"/>
      <c r="H97" s="69"/>
      <c r="I97" s="119">
        <v>0</v>
      </c>
      <c r="J97" s="379">
        <f t="shared" si="23"/>
        <v>0</v>
      </c>
      <c r="K97" s="118">
        <f t="shared" si="27"/>
        <v>0.7</v>
      </c>
      <c r="L97" s="118">
        <f t="shared" si="28"/>
        <v>0</v>
      </c>
      <c r="M97" s="118">
        <f t="shared" si="29"/>
        <v>0</v>
      </c>
      <c r="N97" s="118"/>
    </row>
    <row r="98" spans="4:14" outlineLevel="1" x14ac:dyDescent="0.3">
      <c r="D98" s="151" t="s">
        <v>744</v>
      </c>
      <c r="E98" s="138" t="s">
        <v>462</v>
      </c>
      <c r="F98" s="152">
        <v>34.200000000000003</v>
      </c>
      <c r="G98" s="69"/>
      <c r="H98" s="69"/>
      <c r="I98" s="119">
        <v>0</v>
      </c>
      <c r="J98" s="379">
        <f t="shared" si="23"/>
        <v>0</v>
      </c>
      <c r="K98" s="118">
        <f t="shared" si="27"/>
        <v>34.200000000000003</v>
      </c>
      <c r="L98" s="118">
        <f t="shared" si="28"/>
        <v>0</v>
      </c>
      <c r="M98" s="118">
        <f t="shared" si="29"/>
        <v>0</v>
      </c>
      <c r="N98" s="118"/>
    </row>
    <row r="99" spans="4:14" outlineLevel="1" x14ac:dyDescent="0.3">
      <c r="D99" s="151" t="s">
        <v>743</v>
      </c>
      <c r="E99" s="138" t="s">
        <v>462</v>
      </c>
      <c r="F99" s="152">
        <v>44.8</v>
      </c>
      <c r="G99" s="69"/>
      <c r="H99" s="69"/>
      <c r="I99" s="119">
        <v>0</v>
      </c>
      <c r="J99" s="379">
        <f t="shared" si="23"/>
        <v>0</v>
      </c>
      <c r="K99" s="118">
        <f t="shared" si="27"/>
        <v>44.8</v>
      </c>
      <c r="L99" s="118">
        <f t="shared" si="28"/>
        <v>0</v>
      </c>
      <c r="M99" s="118">
        <f t="shared" si="29"/>
        <v>0</v>
      </c>
      <c r="N99" s="118"/>
    </row>
    <row r="100" spans="4:14" outlineLevel="1" x14ac:dyDescent="0.3">
      <c r="D100" s="151" t="s">
        <v>742</v>
      </c>
      <c r="E100" s="138" t="s">
        <v>462</v>
      </c>
      <c r="F100" s="152">
        <v>9.6</v>
      </c>
      <c r="G100" s="69"/>
      <c r="H100" s="69"/>
      <c r="I100" s="119">
        <v>0</v>
      </c>
      <c r="J100" s="379">
        <f t="shared" si="23"/>
        <v>0</v>
      </c>
      <c r="K100" s="118">
        <f t="shared" si="27"/>
        <v>9.6</v>
      </c>
      <c r="L100" s="118">
        <f t="shared" si="28"/>
        <v>0</v>
      </c>
      <c r="M100" s="118">
        <f t="shared" si="29"/>
        <v>0</v>
      </c>
      <c r="N100" s="118"/>
    </row>
    <row r="101" spans="4:14" outlineLevel="1" x14ac:dyDescent="0.3">
      <c r="D101" s="151" t="s">
        <v>741</v>
      </c>
      <c r="E101" s="138" t="s">
        <v>462</v>
      </c>
      <c r="F101" s="152">
        <v>7.9</v>
      </c>
      <c r="G101" s="69"/>
      <c r="H101" s="69"/>
      <c r="I101" s="119">
        <v>0</v>
      </c>
      <c r="J101" s="379">
        <f t="shared" si="23"/>
        <v>0</v>
      </c>
      <c r="K101" s="118">
        <f t="shared" si="27"/>
        <v>7.9</v>
      </c>
      <c r="L101" s="118">
        <f t="shared" si="28"/>
        <v>0</v>
      </c>
      <c r="M101" s="118">
        <f t="shared" si="29"/>
        <v>0</v>
      </c>
      <c r="N101" s="118"/>
    </row>
    <row r="102" spans="4:14" outlineLevel="1" x14ac:dyDescent="0.3">
      <c r="D102" s="151" t="s">
        <v>740</v>
      </c>
      <c r="E102" s="138" t="s">
        <v>462</v>
      </c>
      <c r="F102" s="152">
        <v>1.4</v>
      </c>
      <c r="G102" s="69"/>
      <c r="H102" s="69"/>
      <c r="I102" s="119">
        <v>0</v>
      </c>
      <c r="J102" s="379">
        <f t="shared" si="23"/>
        <v>0</v>
      </c>
      <c r="K102" s="118">
        <f t="shared" si="27"/>
        <v>1.4</v>
      </c>
      <c r="L102" s="118">
        <f t="shared" si="28"/>
        <v>0</v>
      </c>
      <c r="M102" s="118">
        <f t="shared" si="29"/>
        <v>0</v>
      </c>
      <c r="N102" s="118"/>
    </row>
    <row r="103" spans="4:14" outlineLevel="1" x14ac:dyDescent="0.3">
      <c r="D103" s="151" t="s">
        <v>739</v>
      </c>
      <c r="E103" s="138" t="s">
        <v>462</v>
      </c>
      <c r="F103" s="152">
        <v>5</v>
      </c>
      <c r="G103" s="69"/>
      <c r="H103" s="69"/>
      <c r="I103" s="119">
        <v>0</v>
      </c>
      <c r="J103" s="379">
        <f t="shared" si="23"/>
        <v>0</v>
      </c>
      <c r="K103" s="118">
        <f t="shared" si="27"/>
        <v>5</v>
      </c>
      <c r="L103" s="118">
        <f t="shared" si="28"/>
        <v>0</v>
      </c>
      <c r="M103" s="118">
        <f t="shared" si="29"/>
        <v>0</v>
      </c>
      <c r="N103" s="118"/>
    </row>
    <row r="104" spans="4:14" ht="31.5" outlineLevel="1" x14ac:dyDescent="0.3">
      <c r="D104" s="151" t="s">
        <v>738</v>
      </c>
      <c r="E104" s="138" t="s">
        <v>462</v>
      </c>
      <c r="F104" s="152">
        <v>3.4</v>
      </c>
      <c r="G104" s="69"/>
      <c r="H104" s="69"/>
      <c r="I104" s="119">
        <v>0</v>
      </c>
      <c r="J104" s="379">
        <f t="shared" si="23"/>
        <v>0</v>
      </c>
      <c r="K104" s="118">
        <f t="shared" si="27"/>
        <v>3.4</v>
      </c>
      <c r="L104" s="118">
        <f t="shared" si="28"/>
        <v>0</v>
      </c>
      <c r="M104" s="118">
        <f t="shared" si="29"/>
        <v>0</v>
      </c>
      <c r="N104" s="118"/>
    </row>
    <row r="105" spans="4:14" outlineLevel="1" x14ac:dyDescent="0.3">
      <c r="D105" s="151" t="s">
        <v>737</v>
      </c>
      <c r="E105" s="138" t="s">
        <v>462</v>
      </c>
      <c r="F105" s="152">
        <v>18</v>
      </c>
      <c r="G105" s="69"/>
      <c r="H105" s="69"/>
      <c r="I105" s="119">
        <v>0</v>
      </c>
      <c r="J105" s="379">
        <f t="shared" si="23"/>
        <v>0</v>
      </c>
      <c r="K105" s="118">
        <f t="shared" si="27"/>
        <v>18</v>
      </c>
      <c r="L105" s="118">
        <f t="shared" si="28"/>
        <v>0</v>
      </c>
      <c r="M105" s="118">
        <f t="shared" si="29"/>
        <v>0</v>
      </c>
      <c r="N105" s="118"/>
    </row>
    <row r="106" spans="4:14" outlineLevel="1" x14ac:dyDescent="0.3">
      <c r="D106" s="151" t="s">
        <v>736</v>
      </c>
      <c r="E106" s="138" t="s">
        <v>462</v>
      </c>
      <c r="F106" s="152">
        <v>7.1</v>
      </c>
      <c r="G106" s="69"/>
      <c r="H106" s="69"/>
      <c r="I106" s="119">
        <v>0</v>
      </c>
      <c r="J106" s="379">
        <f t="shared" si="23"/>
        <v>0</v>
      </c>
      <c r="K106" s="118">
        <f t="shared" si="27"/>
        <v>7.1</v>
      </c>
      <c r="L106" s="118">
        <f t="shared" si="28"/>
        <v>0</v>
      </c>
      <c r="M106" s="118">
        <f t="shared" si="29"/>
        <v>0</v>
      </c>
      <c r="N106" s="118"/>
    </row>
    <row r="107" spans="4:14" outlineLevel="1" x14ac:dyDescent="0.3">
      <c r="D107" s="151" t="s">
        <v>735</v>
      </c>
      <c r="E107" s="138" t="s">
        <v>462</v>
      </c>
      <c r="F107" s="152">
        <v>1.2</v>
      </c>
      <c r="G107" s="69"/>
      <c r="H107" s="69"/>
      <c r="I107" s="119">
        <v>0</v>
      </c>
      <c r="J107" s="379">
        <f t="shared" si="23"/>
        <v>0</v>
      </c>
      <c r="K107" s="118">
        <f t="shared" si="27"/>
        <v>1.2</v>
      </c>
      <c r="L107" s="118">
        <f t="shared" si="28"/>
        <v>0</v>
      </c>
      <c r="M107" s="118">
        <f t="shared" si="29"/>
        <v>0</v>
      </c>
      <c r="N107" s="118"/>
    </row>
    <row r="108" spans="4:14" outlineLevel="1" x14ac:dyDescent="0.3">
      <c r="D108" s="151" t="s">
        <v>734</v>
      </c>
      <c r="E108" s="138" t="s">
        <v>462</v>
      </c>
      <c r="F108" s="152">
        <v>20.3</v>
      </c>
      <c r="G108" s="69"/>
      <c r="H108" s="69"/>
      <c r="I108" s="119">
        <v>0</v>
      </c>
      <c r="J108" s="379">
        <f t="shared" si="23"/>
        <v>0</v>
      </c>
      <c r="K108" s="118">
        <f t="shared" si="27"/>
        <v>20.3</v>
      </c>
      <c r="L108" s="118">
        <f t="shared" si="28"/>
        <v>0</v>
      </c>
      <c r="M108" s="118">
        <f t="shared" si="29"/>
        <v>0</v>
      </c>
      <c r="N108" s="118"/>
    </row>
    <row r="109" spans="4:14" outlineLevel="1" x14ac:dyDescent="0.3">
      <c r="D109" s="151" t="s">
        <v>733</v>
      </c>
      <c r="E109" s="138" t="s">
        <v>462</v>
      </c>
      <c r="F109" s="152">
        <v>3.9</v>
      </c>
      <c r="G109" s="69"/>
      <c r="H109" s="69"/>
      <c r="I109" s="119">
        <v>0</v>
      </c>
      <c r="J109" s="379">
        <f t="shared" si="23"/>
        <v>0</v>
      </c>
      <c r="K109" s="118">
        <f t="shared" si="27"/>
        <v>3.9</v>
      </c>
      <c r="L109" s="118">
        <f t="shared" si="28"/>
        <v>0</v>
      </c>
      <c r="M109" s="118">
        <f t="shared" si="29"/>
        <v>0</v>
      </c>
      <c r="N109" s="118"/>
    </row>
    <row r="110" spans="4:14" outlineLevel="1" x14ac:dyDescent="0.3">
      <c r="D110" s="63" t="s">
        <v>732</v>
      </c>
      <c r="E110" s="138" t="s">
        <v>462</v>
      </c>
      <c r="F110" s="150">
        <f>SUM(F111:F114)</f>
        <v>2.06</v>
      </c>
      <c r="G110" s="169"/>
      <c r="H110" s="169"/>
      <c r="I110" s="170"/>
      <c r="J110" s="379">
        <f t="shared" si="23"/>
        <v>0</v>
      </c>
      <c r="K110" s="150">
        <f>SUM(K111:K114)</f>
        <v>2.06</v>
      </c>
      <c r="L110" s="150">
        <f>SUM(L111:L114)</f>
        <v>0</v>
      </c>
      <c r="M110" s="150">
        <f>SUM(M111:M114)</f>
        <v>0</v>
      </c>
      <c r="N110" s="150"/>
    </row>
    <row r="111" spans="4:14" ht="31.5" outlineLevel="1" x14ac:dyDescent="0.3">
      <c r="D111" s="151" t="s">
        <v>731</v>
      </c>
      <c r="E111" s="138" t="s">
        <v>462</v>
      </c>
      <c r="F111" s="152">
        <v>0.9</v>
      </c>
      <c r="G111" s="69"/>
      <c r="H111" s="69"/>
      <c r="I111" s="119">
        <v>0</v>
      </c>
      <c r="J111" s="379">
        <f t="shared" si="23"/>
        <v>0</v>
      </c>
      <c r="K111" s="118">
        <f>F111-L111-M111</f>
        <v>0.9</v>
      </c>
      <c r="L111" s="118">
        <f>H111*$F111</f>
        <v>0</v>
      </c>
      <c r="M111" s="118">
        <f>IF(ISNUMBER(I111),I111*F111,F111)</f>
        <v>0</v>
      </c>
      <c r="N111" s="118"/>
    </row>
    <row r="112" spans="4:14" ht="47.25" outlineLevel="1" x14ac:dyDescent="0.3">
      <c r="D112" s="151" t="s">
        <v>730</v>
      </c>
      <c r="E112" s="138" t="s">
        <v>462</v>
      </c>
      <c r="F112" s="152">
        <v>0.16</v>
      </c>
      <c r="G112" s="69"/>
      <c r="H112" s="69"/>
      <c r="I112" s="119">
        <v>0</v>
      </c>
      <c r="J112" s="379">
        <f t="shared" si="23"/>
        <v>0</v>
      </c>
      <c r="K112" s="118">
        <f>F112-L112-M112</f>
        <v>0.16</v>
      </c>
      <c r="L112" s="118">
        <f>H112*$F112</f>
        <v>0</v>
      </c>
      <c r="M112" s="118">
        <f>IF(ISNUMBER(I112),I112*F112,F112)</f>
        <v>0</v>
      </c>
      <c r="N112" s="118"/>
    </row>
    <row r="113" spans="4:15" ht="31.5" outlineLevel="1" x14ac:dyDescent="0.3">
      <c r="D113" s="151" t="s">
        <v>729</v>
      </c>
      <c r="E113" s="138" t="s">
        <v>462</v>
      </c>
      <c r="F113" s="152">
        <v>0.7</v>
      </c>
      <c r="G113" s="69"/>
      <c r="H113" s="69"/>
      <c r="I113" s="119">
        <v>0</v>
      </c>
      <c r="J113" s="379">
        <f t="shared" si="23"/>
        <v>0</v>
      </c>
      <c r="K113" s="118">
        <f>F113-L113-M113</f>
        <v>0.7</v>
      </c>
      <c r="L113" s="118">
        <f>H113*$F113</f>
        <v>0</v>
      </c>
      <c r="M113" s="118">
        <f>IF(ISNUMBER(I113),I113*F113,F113)</f>
        <v>0</v>
      </c>
      <c r="N113" s="118"/>
    </row>
    <row r="114" spans="4:15" outlineLevel="1" x14ac:dyDescent="0.3">
      <c r="D114" s="151" t="s">
        <v>728</v>
      </c>
      <c r="E114" s="138" t="s">
        <v>462</v>
      </c>
      <c r="F114" s="152">
        <v>0.3</v>
      </c>
      <c r="G114" s="69"/>
      <c r="H114" s="69"/>
      <c r="I114" s="119">
        <v>0</v>
      </c>
      <c r="J114" s="379">
        <f t="shared" si="23"/>
        <v>0</v>
      </c>
      <c r="K114" s="118">
        <f>F114-L114-M114</f>
        <v>0.3</v>
      </c>
      <c r="L114" s="118">
        <f>H114*$F114</f>
        <v>0</v>
      </c>
      <c r="M114" s="118">
        <f>IF(ISNUMBER(I114),I114*F114,F114)</f>
        <v>0</v>
      </c>
      <c r="N114" s="118"/>
    </row>
    <row r="115" spans="4:15" outlineLevel="1" x14ac:dyDescent="0.3">
      <c r="D115" s="63" t="s">
        <v>978</v>
      </c>
      <c r="E115" s="138" t="s">
        <v>462</v>
      </c>
      <c r="F115" s="150">
        <f>SUM(F116:F122)</f>
        <v>4.3999999999999995</v>
      </c>
      <c r="G115" s="169"/>
      <c r="H115" s="169"/>
      <c r="I115" s="170"/>
      <c r="J115" s="379">
        <f t="shared" si="23"/>
        <v>0</v>
      </c>
      <c r="K115" s="150">
        <f>SUM(K116:K122)</f>
        <v>4.3999999999999995</v>
      </c>
      <c r="L115" s="150">
        <f>SUM(L116:L122)</f>
        <v>0</v>
      </c>
      <c r="M115" s="150">
        <f>SUM(M116:M122)</f>
        <v>0</v>
      </c>
      <c r="N115" s="150"/>
    </row>
    <row r="116" spans="4:15" outlineLevel="1" x14ac:dyDescent="0.3">
      <c r="D116" s="151" t="s">
        <v>727</v>
      </c>
      <c r="E116" s="138" t="s">
        <v>462</v>
      </c>
      <c r="F116" s="152">
        <v>0.4</v>
      </c>
      <c r="G116" s="69"/>
      <c r="H116" s="69"/>
      <c r="I116" s="119">
        <v>0</v>
      </c>
      <c r="J116" s="379">
        <f t="shared" si="23"/>
        <v>0</v>
      </c>
      <c r="K116" s="118">
        <f t="shared" ref="K116:K122" si="30">F116-L116-M116</f>
        <v>0.4</v>
      </c>
      <c r="L116" s="118">
        <f t="shared" ref="L116:L122" si="31">H116*$F116</f>
        <v>0</v>
      </c>
      <c r="M116" s="118">
        <f t="shared" ref="M116:M122" si="32">IF(ISNUMBER(I116),I116*F116,F116)</f>
        <v>0</v>
      </c>
      <c r="N116" s="118"/>
    </row>
    <row r="117" spans="4:15" outlineLevel="1" x14ac:dyDescent="0.3">
      <c r="D117" s="151" t="s">
        <v>726</v>
      </c>
      <c r="E117" s="138" t="s">
        <v>462</v>
      </c>
      <c r="F117" s="152">
        <v>1.5</v>
      </c>
      <c r="G117" s="69"/>
      <c r="H117" s="69"/>
      <c r="I117" s="119">
        <v>0</v>
      </c>
      <c r="J117" s="379">
        <f t="shared" si="23"/>
        <v>0</v>
      </c>
      <c r="K117" s="118">
        <f t="shared" si="30"/>
        <v>1.5</v>
      </c>
      <c r="L117" s="118">
        <f t="shared" si="31"/>
        <v>0</v>
      </c>
      <c r="M117" s="118">
        <f t="shared" si="32"/>
        <v>0</v>
      </c>
      <c r="N117" s="118"/>
    </row>
    <row r="118" spans="4:15" outlineLevel="1" x14ac:dyDescent="0.3">
      <c r="D118" s="151" t="s">
        <v>725</v>
      </c>
      <c r="E118" s="138" t="s">
        <v>462</v>
      </c>
      <c r="F118" s="152">
        <v>0.5</v>
      </c>
      <c r="G118" s="69"/>
      <c r="H118" s="69"/>
      <c r="I118" s="119">
        <v>0</v>
      </c>
      <c r="J118" s="379">
        <f t="shared" si="23"/>
        <v>0</v>
      </c>
      <c r="K118" s="118">
        <f t="shared" si="30"/>
        <v>0.5</v>
      </c>
      <c r="L118" s="118">
        <f t="shared" si="31"/>
        <v>0</v>
      </c>
      <c r="M118" s="118">
        <f t="shared" si="32"/>
        <v>0</v>
      </c>
      <c r="N118" s="118"/>
    </row>
    <row r="119" spans="4:15" outlineLevel="1" x14ac:dyDescent="0.3">
      <c r="D119" s="151" t="s">
        <v>724</v>
      </c>
      <c r="E119" s="138" t="s">
        <v>462</v>
      </c>
      <c r="F119" s="152">
        <v>0.7</v>
      </c>
      <c r="G119" s="69"/>
      <c r="H119" s="69"/>
      <c r="I119" s="119">
        <v>0</v>
      </c>
      <c r="J119" s="379">
        <f t="shared" si="23"/>
        <v>0</v>
      </c>
      <c r="K119" s="118">
        <f t="shared" si="30"/>
        <v>0.7</v>
      </c>
      <c r="L119" s="118">
        <f t="shared" si="31"/>
        <v>0</v>
      </c>
      <c r="M119" s="118">
        <f t="shared" si="32"/>
        <v>0</v>
      </c>
      <c r="N119" s="118"/>
    </row>
    <row r="120" spans="4:15" outlineLevel="1" x14ac:dyDescent="0.3">
      <c r="D120" s="151" t="s">
        <v>723</v>
      </c>
      <c r="E120" s="138" t="s">
        <v>462</v>
      </c>
      <c r="F120" s="152">
        <v>0.3</v>
      </c>
      <c r="G120" s="69"/>
      <c r="H120" s="69"/>
      <c r="I120" s="119">
        <v>0</v>
      </c>
      <c r="J120" s="379">
        <f t="shared" si="23"/>
        <v>0</v>
      </c>
      <c r="K120" s="118">
        <f t="shared" si="30"/>
        <v>0.3</v>
      </c>
      <c r="L120" s="118">
        <f t="shared" si="31"/>
        <v>0</v>
      </c>
      <c r="M120" s="118">
        <f t="shared" si="32"/>
        <v>0</v>
      </c>
      <c r="N120" s="118"/>
    </row>
    <row r="121" spans="4:15" outlineLevel="1" x14ac:dyDescent="0.3">
      <c r="D121" s="151" t="s">
        <v>722</v>
      </c>
      <c r="E121" s="138" t="s">
        <v>462</v>
      </c>
      <c r="F121" s="152">
        <v>0.9</v>
      </c>
      <c r="G121" s="69"/>
      <c r="H121" s="69"/>
      <c r="I121" s="119">
        <v>0</v>
      </c>
      <c r="J121" s="379">
        <f t="shared" si="23"/>
        <v>0</v>
      </c>
      <c r="K121" s="118">
        <f t="shared" si="30"/>
        <v>0.9</v>
      </c>
      <c r="L121" s="118">
        <f t="shared" si="31"/>
        <v>0</v>
      </c>
      <c r="M121" s="118">
        <f t="shared" si="32"/>
        <v>0</v>
      </c>
      <c r="N121" s="118"/>
    </row>
    <row r="122" spans="4:15" outlineLevel="1" x14ac:dyDescent="0.3">
      <c r="D122" s="151" t="s">
        <v>721</v>
      </c>
      <c r="E122" s="138" t="s">
        <v>462</v>
      </c>
      <c r="F122" s="152">
        <v>0.1</v>
      </c>
      <c r="G122" s="69"/>
      <c r="H122" s="69"/>
      <c r="I122" s="119">
        <v>0</v>
      </c>
      <c r="J122" s="379">
        <f t="shared" si="23"/>
        <v>0</v>
      </c>
      <c r="K122" s="118">
        <f t="shared" si="30"/>
        <v>0.1</v>
      </c>
      <c r="L122" s="118">
        <f t="shared" si="31"/>
        <v>0</v>
      </c>
      <c r="M122" s="118">
        <f t="shared" si="32"/>
        <v>0</v>
      </c>
      <c r="N122" s="118"/>
    </row>
    <row r="123" spans="4:15" outlineLevel="1" x14ac:dyDescent="0.3">
      <c r="D123" s="151"/>
      <c r="E123" s="138"/>
      <c r="F123" s="152"/>
      <c r="G123" s="69"/>
      <c r="H123" s="69"/>
      <c r="I123" s="119"/>
      <c r="J123" s="379">
        <f t="shared" si="23"/>
        <v>0</v>
      </c>
      <c r="K123" s="118"/>
      <c r="L123" s="118"/>
      <c r="M123" s="118"/>
      <c r="N123" s="118"/>
    </row>
    <row r="124" spans="4:15" x14ac:dyDescent="0.3">
      <c r="D124" s="11" t="s">
        <v>720</v>
      </c>
      <c r="E124" s="138" t="s">
        <v>462</v>
      </c>
      <c r="F124" s="154">
        <f>F125+F129+SUM(F132:F135)</f>
        <v>260</v>
      </c>
      <c r="G124" s="169"/>
      <c r="H124" s="169"/>
      <c r="I124" s="170"/>
      <c r="J124" s="379"/>
      <c r="K124" s="154">
        <f>K125+K129+SUM(K132:K135)</f>
        <v>61.100000000000009</v>
      </c>
      <c r="L124" s="154">
        <f>L125+L129+SUM(L132:L135)</f>
        <v>0</v>
      </c>
      <c r="M124" s="154">
        <f>M125+M129+SUM(M132:M135)</f>
        <v>198.89999999999998</v>
      </c>
      <c r="N124" s="154"/>
      <c r="O124" s="359">
        <f>+M124/F124</f>
        <v>0.7649999999999999</v>
      </c>
    </row>
    <row r="125" spans="4:15" outlineLevel="1" x14ac:dyDescent="0.3">
      <c r="D125" s="63" t="s">
        <v>979</v>
      </c>
      <c r="E125" s="138" t="s">
        <v>462</v>
      </c>
      <c r="F125" s="150">
        <f>SUM(F126:F128)</f>
        <v>177.29999999999998</v>
      </c>
      <c r="G125" s="169"/>
      <c r="H125" s="169"/>
      <c r="I125" s="170"/>
      <c r="J125" s="379"/>
      <c r="K125" s="150">
        <f>SUM(K126:K128)</f>
        <v>0</v>
      </c>
      <c r="L125" s="150">
        <f>SUM(L126:L128)</f>
        <v>0</v>
      </c>
      <c r="M125" s="150">
        <f>SUM(M126:M128)</f>
        <v>177.29999999999998</v>
      </c>
      <c r="N125" s="150"/>
    </row>
    <row r="126" spans="4:15" outlineLevel="1" x14ac:dyDescent="0.3">
      <c r="D126" s="151" t="s">
        <v>719</v>
      </c>
      <c r="E126" s="138" t="s">
        <v>462</v>
      </c>
      <c r="F126" s="152">
        <v>169.9</v>
      </c>
      <c r="G126" s="69"/>
      <c r="H126" s="69"/>
      <c r="I126" s="119" t="s">
        <v>256</v>
      </c>
      <c r="J126" s="379">
        <f t="shared" si="23"/>
        <v>1</v>
      </c>
      <c r="K126" s="118">
        <f>F126-L126-M126</f>
        <v>0</v>
      </c>
      <c r="L126" s="118">
        <f>H126*$F126</f>
        <v>0</v>
      </c>
      <c r="M126" s="118">
        <f>IF(ISNUMBER(I126),I126*F126,F126)</f>
        <v>169.9</v>
      </c>
      <c r="N126" s="118"/>
    </row>
    <row r="127" spans="4:15" outlineLevel="1" x14ac:dyDescent="0.3">
      <c r="D127" s="151" t="s">
        <v>718</v>
      </c>
      <c r="E127" s="138" t="s">
        <v>462</v>
      </c>
      <c r="F127" s="152">
        <v>2.7</v>
      </c>
      <c r="G127" s="69"/>
      <c r="H127" s="69"/>
      <c r="I127" s="119" t="s">
        <v>256</v>
      </c>
      <c r="J127" s="379">
        <f t="shared" si="23"/>
        <v>1</v>
      </c>
      <c r="K127" s="118">
        <f>F127-L127-M127</f>
        <v>0</v>
      </c>
      <c r="L127" s="118">
        <f>H127*$F127</f>
        <v>0</v>
      </c>
      <c r="M127" s="118">
        <f>IF(ISNUMBER(I127),I127*F127,F127)</f>
        <v>2.7</v>
      </c>
      <c r="N127" s="118"/>
    </row>
    <row r="128" spans="4:15" outlineLevel="1" x14ac:dyDescent="0.3">
      <c r="D128" s="151" t="s">
        <v>717</v>
      </c>
      <c r="E128" s="138" t="s">
        <v>462</v>
      </c>
      <c r="F128" s="152">
        <v>4.7</v>
      </c>
      <c r="G128" s="69"/>
      <c r="H128" s="69"/>
      <c r="I128" s="119" t="s">
        <v>256</v>
      </c>
      <c r="J128" s="379">
        <f t="shared" si="23"/>
        <v>1</v>
      </c>
      <c r="K128" s="118">
        <f>F128-L128-M128</f>
        <v>0</v>
      </c>
      <c r="L128" s="118">
        <f>H128*$F128</f>
        <v>0</v>
      </c>
      <c r="M128" s="118">
        <f>IF(ISNUMBER(I128),I128*F128,F128)</f>
        <v>4.7</v>
      </c>
      <c r="N128" s="118"/>
    </row>
    <row r="129" spans="4:16" outlineLevel="1" x14ac:dyDescent="0.3">
      <c r="D129" s="63" t="s">
        <v>716</v>
      </c>
      <c r="E129" s="138" t="s">
        <v>462</v>
      </c>
      <c r="F129" s="150">
        <f>SUM(F130:F131)</f>
        <v>5.2</v>
      </c>
      <c r="G129" s="169"/>
      <c r="H129" s="169"/>
      <c r="I129" s="170"/>
      <c r="J129" s="379"/>
      <c r="K129" s="150">
        <f>SUM(K130:K131)</f>
        <v>5.2</v>
      </c>
      <c r="L129" s="150">
        <f>SUM(L130:L131)</f>
        <v>0</v>
      </c>
      <c r="M129" s="150">
        <f>SUM(M130:M131)</f>
        <v>0</v>
      </c>
      <c r="N129" s="150"/>
    </row>
    <row r="130" spans="4:16" outlineLevel="1" x14ac:dyDescent="0.3">
      <c r="D130" s="151" t="s">
        <v>715</v>
      </c>
      <c r="E130" s="138" t="s">
        <v>462</v>
      </c>
      <c r="F130" s="152">
        <v>5</v>
      </c>
      <c r="G130" s="69"/>
      <c r="H130" s="69"/>
      <c r="I130" s="119">
        <v>0</v>
      </c>
      <c r="J130" s="379">
        <f t="shared" si="23"/>
        <v>0</v>
      </c>
      <c r="K130" s="118">
        <f t="shared" ref="K130:K136" si="33">F130-L130-M130</f>
        <v>5</v>
      </c>
      <c r="L130" s="118">
        <f t="shared" ref="L130:L136" si="34">H130*$F130</f>
        <v>0</v>
      </c>
      <c r="M130" s="118">
        <f t="shared" ref="M130:M136" si="35">IF(ISNUMBER(I130),I130*F130,F130)</f>
        <v>0</v>
      </c>
      <c r="N130" s="118"/>
    </row>
    <row r="131" spans="4:16" outlineLevel="1" x14ac:dyDescent="0.3">
      <c r="D131" s="151" t="s">
        <v>714</v>
      </c>
      <c r="E131" s="138" t="s">
        <v>462</v>
      </c>
      <c r="F131" s="152">
        <v>0.2</v>
      </c>
      <c r="G131" s="69"/>
      <c r="H131" s="69"/>
      <c r="I131" s="119">
        <v>0</v>
      </c>
      <c r="J131" s="379">
        <f t="shared" si="23"/>
        <v>0</v>
      </c>
      <c r="K131" s="118">
        <f t="shared" si="33"/>
        <v>0.2</v>
      </c>
      <c r="L131" s="118">
        <f t="shared" si="34"/>
        <v>0</v>
      </c>
      <c r="M131" s="118">
        <f t="shared" si="35"/>
        <v>0</v>
      </c>
      <c r="N131" s="118"/>
    </row>
    <row r="132" spans="4:16" outlineLevel="1" x14ac:dyDescent="0.3">
      <c r="D132" s="63" t="s">
        <v>713</v>
      </c>
      <c r="E132" s="138" t="s">
        <v>462</v>
      </c>
      <c r="F132" s="150">
        <v>21.6</v>
      </c>
      <c r="G132" s="69"/>
      <c r="H132" s="69"/>
      <c r="I132" s="119" t="s">
        <v>27</v>
      </c>
      <c r="J132" s="379">
        <f t="shared" si="23"/>
        <v>1</v>
      </c>
      <c r="K132" s="118">
        <f t="shared" si="33"/>
        <v>0</v>
      </c>
      <c r="L132" s="118">
        <f t="shared" si="34"/>
        <v>0</v>
      </c>
      <c r="M132" s="118">
        <f t="shared" si="35"/>
        <v>21.6</v>
      </c>
      <c r="N132" s="118"/>
    </row>
    <row r="133" spans="4:16" outlineLevel="1" x14ac:dyDescent="0.3">
      <c r="D133" s="63" t="s">
        <v>980</v>
      </c>
      <c r="E133" s="138" t="s">
        <v>462</v>
      </c>
      <c r="F133" s="150">
        <v>52.2</v>
      </c>
      <c r="G133" s="69"/>
      <c r="H133" s="69"/>
      <c r="I133" s="119">
        <v>0</v>
      </c>
      <c r="J133" s="379">
        <f t="shared" si="23"/>
        <v>0</v>
      </c>
      <c r="K133" s="118">
        <f t="shared" si="33"/>
        <v>52.2</v>
      </c>
      <c r="L133" s="118">
        <f t="shared" si="34"/>
        <v>0</v>
      </c>
      <c r="M133" s="118">
        <f t="shared" si="35"/>
        <v>0</v>
      </c>
      <c r="N133" s="118"/>
    </row>
    <row r="134" spans="4:16" outlineLevel="1" x14ac:dyDescent="0.3">
      <c r="D134" s="63" t="s">
        <v>712</v>
      </c>
      <c r="E134" s="138" t="s">
        <v>462</v>
      </c>
      <c r="F134" s="150">
        <v>0.7</v>
      </c>
      <c r="G134" s="69"/>
      <c r="H134" s="69"/>
      <c r="I134" s="119">
        <v>0</v>
      </c>
      <c r="J134" s="379">
        <f t="shared" si="23"/>
        <v>0</v>
      </c>
      <c r="K134" s="118">
        <f t="shared" si="33"/>
        <v>0.7</v>
      </c>
      <c r="L134" s="118">
        <f t="shared" si="34"/>
        <v>0</v>
      </c>
      <c r="M134" s="118">
        <f t="shared" si="35"/>
        <v>0</v>
      </c>
      <c r="N134" s="118"/>
    </row>
    <row r="135" spans="4:16" outlineLevel="1" x14ac:dyDescent="0.3">
      <c r="D135" s="63" t="s">
        <v>711</v>
      </c>
      <c r="E135" s="138" t="s">
        <v>462</v>
      </c>
      <c r="F135" s="150">
        <v>3</v>
      </c>
      <c r="G135" s="69"/>
      <c r="H135" s="69"/>
      <c r="I135" s="119">
        <v>0</v>
      </c>
      <c r="J135" s="379">
        <f t="shared" si="23"/>
        <v>0</v>
      </c>
      <c r="K135" s="118">
        <f t="shared" si="33"/>
        <v>3</v>
      </c>
      <c r="L135" s="118">
        <f t="shared" si="34"/>
        <v>0</v>
      </c>
      <c r="M135" s="118">
        <f t="shared" si="35"/>
        <v>0</v>
      </c>
      <c r="N135" s="118"/>
    </row>
    <row r="136" spans="4:16" outlineLevel="1" x14ac:dyDescent="0.3">
      <c r="D136" s="63"/>
      <c r="E136" s="138"/>
      <c r="F136" s="150"/>
      <c r="G136" s="69"/>
      <c r="H136" s="69"/>
      <c r="I136" s="119"/>
      <c r="J136" s="379"/>
      <c r="K136" s="118">
        <f t="shared" si="33"/>
        <v>0</v>
      </c>
      <c r="L136" s="118">
        <f t="shared" si="34"/>
        <v>0</v>
      </c>
      <c r="M136" s="118">
        <f t="shared" si="35"/>
        <v>0</v>
      </c>
      <c r="N136" s="118"/>
    </row>
    <row r="137" spans="4:16" x14ac:dyDescent="0.3">
      <c r="D137" s="11" t="s">
        <v>710</v>
      </c>
      <c r="E137" s="138" t="s">
        <v>462</v>
      </c>
      <c r="F137" s="154">
        <f>F138+F139+F143+F144+F147+F148+F156+F157</f>
        <v>398.90000000000009</v>
      </c>
      <c r="G137" s="169"/>
      <c r="H137" s="169"/>
      <c r="I137" s="170"/>
      <c r="J137" s="379"/>
      <c r="K137" s="154">
        <f>K138+K139+K143+K144+K147+K148+K156+K157</f>
        <v>187.38788009594654</v>
      </c>
      <c r="L137" s="154">
        <f>L138+L139+L143+L144+L147+L148+L156+L157</f>
        <v>11.712310859911781</v>
      </c>
      <c r="M137" s="154">
        <f>M138+M139+M143+M144+M147+M148+M156+M157</f>
        <v>199.79980904414168</v>
      </c>
      <c r="N137" s="154"/>
      <c r="O137" s="359">
        <f>+M137/F137</f>
        <v>0.50087693417934731</v>
      </c>
    </row>
    <row r="138" spans="4:16" x14ac:dyDescent="0.3">
      <c r="D138" s="63" t="s">
        <v>709</v>
      </c>
      <c r="E138" s="138" t="s">
        <v>462</v>
      </c>
      <c r="F138" s="150">
        <v>0.3</v>
      </c>
      <c r="G138" s="69"/>
      <c r="H138" s="69"/>
      <c r="I138" s="119">
        <v>0</v>
      </c>
      <c r="J138" s="379">
        <f t="shared" ref="J138:J197" si="36">+IF(I138&lt;&gt;0, 1,0)</f>
        <v>0</v>
      </c>
      <c r="K138" s="118">
        <f>F138-L138-M138</f>
        <v>0.3</v>
      </c>
      <c r="L138" s="118">
        <f>H138*$F138</f>
        <v>0</v>
      </c>
      <c r="M138" s="118">
        <f>IF(ISNUMBER(I138),I138*F138,F138)</f>
        <v>0</v>
      </c>
      <c r="N138" s="118"/>
    </row>
    <row r="139" spans="4:16" x14ac:dyDescent="0.3">
      <c r="D139" s="63" t="s">
        <v>708</v>
      </c>
      <c r="E139" s="138" t="s">
        <v>462</v>
      </c>
      <c r="F139" s="150">
        <f>SUM(F140:F142)</f>
        <v>82.9</v>
      </c>
      <c r="G139" s="169"/>
      <c r="H139" s="169"/>
      <c r="I139" s="170"/>
      <c r="J139" s="379"/>
      <c r="K139" s="150">
        <f>SUM(K140:K142)</f>
        <v>17.425579999999986</v>
      </c>
      <c r="L139" s="150">
        <f>SUM(L140:L142)</f>
        <v>4.4600200000000001</v>
      </c>
      <c r="M139" s="150">
        <f>SUM(M140:M142)</f>
        <v>61.014400000000002</v>
      </c>
      <c r="N139" s="150"/>
    </row>
    <row r="140" spans="4:16" x14ac:dyDescent="0.3">
      <c r="D140" s="151" t="s">
        <v>707</v>
      </c>
      <c r="E140" s="138" t="s">
        <v>462</v>
      </c>
      <c r="F140" s="152">
        <v>71.8</v>
      </c>
      <c r="G140" s="69">
        <v>0.2102</v>
      </c>
      <c r="H140" s="69">
        <v>5.3800000000000001E-2</v>
      </c>
      <c r="I140" s="119">
        <f>1-G140-H140</f>
        <v>0.7360000000000001</v>
      </c>
      <c r="J140" s="379">
        <f t="shared" si="36"/>
        <v>1</v>
      </c>
      <c r="K140" s="118">
        <f>F140-L140-M140</f>
        <v>15.092359999999985</v>
      </c>
      <c r="L140" s="118">
        <f>H140*$F140</f>
        <v>3.8628399999999998</v>
      </c>
      <c r="M140" s="118">
        <f>IF(ISNUMBER(I140),I140*F140,F140)</f>
        <v>52.844800000000006</v>
      </c>
      <c r="N140" s="118"/>
      <c r="P140" s="87" t="s">
        <v>706</v>
      </c>
    </row>
    <row r="141" spans="4:16" x14ac:dyDescent="0.3">
      <c r="D141" s="151" t="s">
        <v>705</v>
      </c>
      <c r="E141" s="138" t="s">
        <v>462</v>
      </c>
      <c r="F141" s="152">
        <v>0.9</v>
      </c>
      <c r="G141" s="69">
        <v>0.2102</v>
      </c>
      <c r="H141" s="69">
        <v>5.3800000000000001E-2</v>
      </c>
      <c r="I141" s="119">
        <f>1-G141-H141</f>
        <v>0.7360000000000001</v>
      </c>
      <c r="J141" s="379">
        <f t="shared" si="36"/>
        <v>1</v>
      </c>
      <c r="K141" s="118">
        <f>F141-L141-M141</f>
        <v>0.1891799999999999</v>
      </c>
      <c r="L141" s="118">
        <f>H141*$F141</f>
        <v>4.8420000000000005E-2</v>
      </c>
      <c r="M141" s="118">
        <f>IF(ISNUMBER(I141),I141*F141,F141)</f>
        <v>0.6624000000000001</v>
      </c>
      <c r="N141" s="118"/>
    </row>
    <row r="142" spans="4:16" x14ac:dyDescent="0.3">
      <c r="D142" s="151" t="s">
        <v>704</v>
      </c>
      <c r="E142" s="138" t="s">
        <v>462</v>
      </c>
      <c r="F142" s="152">
        <v>10.199999999999999</v>
      </c>
      <c r="G142" s="69">
        <v>0.2102</v>
      </c>
      <c r="H142" s="69">
        <v>5.3800000000000001E-2</v>
      </c>
      <c r="I142" s="119">
        <f>1-G142-H142</f>
        <v>0.7360000000000001</v>
      </c>
      <c r="J142" s="379">
        <f t="shared" si="36"/>
        <v>1</v>
      </c>
      <c r="K142" s="118">
        <f>F142-L142-M142</f>
        <v>2.1440399999999995</v>
      </c>
      <c r="L142" s="118">
        <f>H142*$F142</f>
        <v>0.54875999999999991</v>
      </c>
      <c r="M142" s="118">
        <f>IF(ISNUMBER(I142),I142*F142,F142)</f>
        <v>7.5072000000000001</v>
      </c>
      <c r="N142" s="118"/>
    </row>
    <row r="143" spans="4:16" x14ac:dyDescent="0.3">
      <c r="D143" s="153" t="s">
        <v>703</v>
      </c>
      <c r="E143" s="138" t="s">
        <v>462</v>
      </c>
      <c r="F143" s="150">
        <v>6.8</v>
      </c>
      <c r="G143" s="69"/>
      <c r="H143" s="69"/>
      <c r="I143" s="119" t="s">
        <v>27</v>
      </c>
      <c r="J143" s="379">
        <f t="shared" si="36"/>
        <v>1</v>
      </c>
      <c r="K143" s="118">
        <f>F143-L143-M143</f>
        <v>0</v>
      </c>
      <c r="L143" s="118">
        <f>H143*$F143</f>
        <v>0</v>
      </c>
      <c r="M143" s="118">
        <f>IF(ISNUMBER(I143),I143*F143,F143)</f>
        <v>6.8</v>
      </c>
      <c r="N143" s="118"/>
    </row>
    <row r="144" spans="4:16" x14ac:dyDescent="0.3">
      <c r="D144" s="153" t="s">
        <v>702</v>
      </c>
      <c r="E144" s="138" t="s">
        <v>462</v>
      </c>
      <c r="F144" s="150">
        <f>F145+F146</f>
        <v>155.10000000000002</v>
      </c>
      <c r="G144" s="169"/>
      <c r="H144" s="169"/>
      <c r="I144" s="170"/>
      <c r="J144" s="379">
        <f t="shared" si="36"/>
        <v>0</v>
      </c>
      <c r="K144" s="150">
        <f>K145+K146</f>
        <v>17.662300095946552</v>
      </c>
      <c r="L144" s="150">
        <f>L145+L146</f>
        <v>7.2522908599117812</v>
      </c>
      <c r="M144" s="150">
        <f>M145+M146</f>
        <v>130.18540904414166</v>
      </c>
      <c r="N144" s="150"/>
    </row>
    <row r="145" spans="4:15" x14ac:dyDescent="0.3">
      <c r="D145" s="151" t="s">
        <v>701</v>
      </c>
      <c r="E145" s="138" t="s">
        <v>462</v>
      </c>
      <c r="F145" s="152">
        <v>153.80000000000001</v>
      </c>
      <c r="G145" s="69">
        <v>0.10638686668365786</v>
      </c>
      <c r="H145" s="69">
        <v>4.7154036800466717E-2</v>
      </c>
      <c r="I145" s="119">
        <f>1-G145-H145</f>
        <v>0.84645909651587548</v>
      </c>
      <c r="J145" s="379">
        <f t="shared" si="36"/>
        <v>1</v>
      </c>
      <c r="K145" s="118">
        <f>F145-L145-M145</f>
        <v>16.362300095946551</v>
      </c>
      <c r="L145" s="118">
        <f>H145*$F145</f>
        <v>7.2522908599117812</v>
      </c>
      <c r="M145" s="118">
        <f>IF(ISNUMBER(I145),I145*F145,F145)</f>
        <v>130.18540904414166</v>
      </c>
      <c r="N145" s="118"/>
      <c r="O145" s="87" t="s">
        <v>601</v>
      </c>
    </row>
    <row r="146" spans="4:15" x14ac:dyDescent="0.3">
      <c r="D146" s="151" t="s">
        <v>700</v>
      </c>
      <c r="E146" s="138" t="s">
        <v>462</v>
      </c>
      <c r="F146" s="152">
        <v>1.3</v>
      </c>
      <c r="G146" s="69"/>
      <c r="H146" s="69"/>
      <c r="I146" s="119">
        <v>0</v>
      </c>
      <c r="J146" s="379">
        <f t="shared" si="36"/>
        <v>0</v>
      </c>
      <c r="K146" s="118">
        <f>F146-L146-M146</f>
        <v>1.3</v>
      </c>
      <c r="L146" s="118">
        <f>H146*$F146</f>
        <v>0</v>
      </c>
      <c r="M146" s="118">
        <f>IF(ISNUMBER(I146),I146*F146,F146)</f>
        <v>0</v>
      </c>
      <c r="N146" s="118"/>
    </row>
    <row r="147" spans="4:15" x14ac:dyDescent="0.3">
      <c r="D147" s="153" t="s">
        <v>699</v>
      </c>
      <c r="E147" s="138" t="s">
        <v>462</v>
      </c>
      <c r="F147" s="150">
        <v>1.8</v>
      </c>
      <c r="G147" s="69"/>
      <c r="H147" s="69"/>
      <c r="I147" s="119" t="s">
        <v>256</v>
      </c>
      <c r="J147" s="379">
        <f t="shared" si="36"/>
        <v>1</v>
      </c>
      <c r="K147" s="118">
        <f>F147-L147-M147</f>
        <v>0</v>
      </c>
      <c r="L147" s="118">
        <f>H147*$F147</f>
        <v>0</v>
      </c>
      <c r="M147" s="118">
        <f>IF(ISNUMBER(I147),I147*F147,F147)</f>
        <v>1.8</v>
      </c>
      <c r="N147" s="118"/>
    </row>
    <row r="148" spans="4:15" x14ac:dyDescent="0.3">
      <c r="D148" s="153" t="s">
        <v>698</v>
      </c>
      <c r="E148" s="138" t="s">
        <v>462</v>
      </c>
      <c r="F148" s="150">
        <f>SUM(F149:F155)</f>
        <v>113.4</v>
      </c>
      <c r="G148" s="169"/>
      <c r="H148" s="169"/>
      <c r="I148" s="170"/>
      <c r="J148" s="379">
        <f t="shared" si="36"/>
        <v>0</v>
      </c>
      <c r="K148" s="150">
        <f>SUM(K149:K155)</f>
        <v>113.4</v>
      </c>
      <c r="L148" s="150">
        <f>SUM(L149:L155)</f>
        <v>0</v>
      </c>
      <c r="M148" s="150">
        <f>SUM(M149:M155)</f>
        <v>0</v>
      </c>
      <c r="N148" s="150"/>
    </row>
    <row r="149" spans="4:15" x14ac:dyDescent="0.3">
      <c r="D149" s="151" t="s">
        <v>697</v>
      </c>
      <c r="E149" s="138" t="s">
        <v>462</v>
      </c>
      <c r="F149" s="152">
        <v>10.199999999999999</v>
      </c>
      <c r="G149" s="69"/>
      <c r="H149" s="69"/>
      <c r="I149" s="119">
        <v>0</v>
      </c>
      <c r="J149" s="379">
        <f t="shared" si="36"/>
        <v>0</v>
      </c>
      <c r="K149" s="118">
        <f t="shared" ref="K149:K156" si="37">F149-L149-M149</f>
        <v>10.199999999999999</v>
      </c>
      <c r="L149" s="118">
        <f t="shared" ref="L149:L156" si="38">H149*$F149</f>
        <v>0</v>
      </c>
      <c r="M149" s="118">
        <f t="shared" ref="M149:M156" si="39">IF(ISNUMBER(I149),I149*F149,F149)</f>
        <v>0</v>
      </c>
      <c r="N149" s="118"/>
    </row>
    <row r="150" spans="4:15" ht="31.5" x14ac:dyDescent="0.3">
      <c r="D150" s="151" t="s">
        <v>696</v>
      </c>
      <c r="E150" s="138" t="s">
        <v>462</v>
      </c>
      <c r="F150" s="152">
        <v>0.4</v>
      </c>
      <c r="G150" s="69"/>
      <c r="H150" s="69"/>
      <c r="I150" s="119">
        <v>0</v>
      </c>
      <c r="J150" s="379">
        <f t="shared" si="36"/>
        <v>0</v>
      </c>
      <c r="K150" s="118">
        <f t="shared" si="37"/>
        <v>0.4</v>
      </c>
      <c r="L150" s="118">
        <f t="shared" si="38"/>
        <v>0</v>
      </c>
      <c r="M150" s="118">
        <f t="shared" si="39"/>
        <v>0</v>
      </c>
      <c r="N150" s="118"/>
    </row>
    <row r="151" spans="4:15" ht="31.5" x14ac:dyDescent="0.3">
      <c r="D151" s="151" t="s">
        <v>695</v>
      </c>
      <c r="E151" s="138" t="s">
        <v>462</v>
      </c>
      <c r="F151" s="152">
        <v>2.8</v>
      </c>
      <c r="G151" s="69"/>
      <c r="H151" s="69"/>
      <c r="I151" s="119">
        <v>0</v>
      </c>
      <c r="J151" s="379">
        <f t="shared" si="36"/>
        <v>0</v>
      </c>
      <c r="K151" s="118">
        <f t="shared" si="37"/>
        <v>2.8</v>
      </c>
      <c r="L151" s="118">
        <f t="shared" si="38"/>
        <v>0</v>
      </c>
      <c r="M151" s="118">
        <f t="shared" si="39"/>
        <v>0</v>
      </c>
      <c r="N151" s="118"/>
    </row>
    <row r="152" spans="4:15" x14ac:dyDescent="0.3">
      <c r="D152" s="151" t="s">
        <v>694</v>
      </c>
      <c r="E152" s="138" t="s">
        <v>462</v>
      </c>
      <c r="F152" s="152">
        <v>0.4</v>
      </c>
      <c r="G152" s="69"/>
      <c r="H152" s="69"/>
      <c r="I152" s="119">
        <v>0</v>
      </c>
      <c r="J152" s="379">
        <f t="shared" si="36"/>
        <v>0</v>
      </c>
      <c r="K152" s="118">
        <f t="shared" si="37"/>
        <v>0.4</v>
      </c>
      <c r="L152" s="118">
        <f t="shared" si="38"/>
        <v>0</v>
      </c>
      <c r="M152" s="118">
        <f t="shared" si="39"/>
        <v>0</v>
      </c>
      <c r="N152" s="118"/>
    </row>
    <row r="153" spans="4:15" x14ac:dyDescent="0.3">
      <c r="D153" s="151" t="s">
        <v>693</v>
      </c>
      <c r="E153" s="138" t="s">
        <v>462</v>
      </c>
      <c r="F153" s="152">
        <v>9</v>
      </c>
      <c r="G153" s="69"/>
      <c r="H153" s="69"/>
      <c r="I153" s="119">
        <v>0</v>
      </c>
      <c r="J153" s="379">
        <f t="shared" si="36"/>
        <v>0</v>
      </c>
      <c r="K153" s="118">
        <f t="shared" si="37"/>
        <v>9</v>
      </c>
      <c r="L153" s="118">
        <f t="shared" si="38"/>
        <v>0</v>
      </c>
      <c r="M153" s="118">
        <f t="shared" si="39"/>
        <v>0</v>
      </c>
      <c r="N153" s="118"/>
    </row>
    <row r="154" spans="4:15" ht="31.5" x14ac:dyDescent="0.3">
      <c r="D154" s="151" t="s">
        <v>692</v>
      </c>
      <c r="E154" s="138" t="s">
        <v>462</v>
      </c>
      <c r="F154" s="152">
        <v>6.9</v>
      </c>
      <c r="G154" s="69"/>
      <c r="H154" s="69"/>
      <c r="I154" s="119">
        <v>0</v>
      </c>
      <c r="J154" s="379">
        <f t="shared" si="36"/>
        <v>0</v>
      </c>
      <c r="K154" s="118">
        <f t="shared" si="37"/>
        <v>6.9</v>
      </c>
      <c r="L154" s="118">
        <f t="shared" si="38"/>
        <v>0</v>
      </c>
      <c r="M154" s="118">
        <f t="shared" si="39"/>
        <v>0</v>
      </c>
      <c r="N154" s="118"/>
    </row>
    <row r="155" spans="4:15" x14ac:dyDescent="0.3">
      <c r="D155" s="151" t="s">
        <v>691</v>
      </c>
      <c r="E155" s="138" t="s">
        <v>462</v>
      </c>
      <c r="F155" s="152">
        <v>83.7</v>
      </c>
      <c r="G155" s="69"/>
      <c r="H155" s="69"/>
      <c r="I155" s="119">
        <v>0</v>
      </c>
      <c r="J155" s="379">
        <f t="shared" si="36"/>
        <v>0</v>
      </c>
      <c r="K155" s="118">
        <f t="shared" si="37"/>
        <v>83.7</v>
      </c>
      <c r="L155" s="118">
        <f t="shared" si="38"/>
        <v>0</v>
      </c>
      <c r="M155" s="118">
        <f t="shared" si="39"/>
        <v>0</v>
      </c>
      <c r="N155" s="118"/>
    </row>
    <row r="156" spans="4:15" ht="31.5" x14ac:dyDescent="0.3">
      <c r="D156" s="153" t="s">
        <v>690</v>
      </c>
      <c r="E156" s="138" t="s">
        <v>462</v>
      </c>
      <c r="F156" s="150">
        <v>16.600000000000001</v>
      </c>
      <c r="G156" s="69"/>
      <c r="H156" s="69"/>
      <c r="I156" s="119">
        <v>0</v>
      </c>
      <c r="J156" s="379">
        <f t="shared" si="36"/>
        <v>0</v>
      </c>
      <c r="K156" s="118">
        <f t="shared" si="37"/>
        <v>16.600000000000001</v>
      </c>
      <c r="L156" s="118">
        <f t="shared" si="38"/>
        <v>0</v>
      </c>
      <c r="M156" s="118">
        <f t="shared" si="39"/>
        <v>0</v>
      </c>
      <c r="N156" s="118"/>
    </row>
    <row r="157" spans="4:15" x14ac:dyDescent="0.3">
      <c r="D157" s="153" t="s">
        <v>63</v>
      </c>
      <c r="E157" s="138" t="s">
        <v>462</v>
      </c>
      <c r="F157" s="150">
        <f>SUM(F158:F161)</f>
        <v>22</v>
      </c>
      <c r="G157" s="169"/>
      <c r="H157" s="169"/>
      <c r="I157" s="170"/>
      <c r="J157" s="379">
        <f t="shared" si="36"/>
        <v>0</v>
      </c>
      <c r="K157" s="150">
        <f>SUM(K158:K161)</f>
        <v>22</v>
      </c>
      <c r="L157" s="150">
        <f>SUM(L158:L161)</f>
        <v>0</v>
      </c>
      <c r="M157" s="150">
        <f>SUM(M158:M161)</f>
        <v>0</v>
      </c>
      <c r="N157" s="150"/>
    </row>
    <row r="158" spans="4:15" x14ac:dyDescent="0.3">
      <c r="D158" s="151" t="s">
        <v>689</v>
      </c>
      <c r="E158" s="138" t="s">
        <v>462</v>
      </c>
      <c r="F158" s="152">
        <v>1.7</v>
      </c>
      <c r="G158" s="69"/>
      <c r="H158" s="69"/>
      <c r="I158" s="119">
        <v>0</v>
      </c>
      <c r="J158" s="379">
        <f t="shared" si="36"/>
        <v>0</v>
      </c>
      <c r="K158" s="118">
        <f>F158-L158-M158</f>
        <v>1.7</v>
      </c>
      <c r="L158" s="118">
        <f>H158*$F158</f>
        <v>0</v>
      </c>
      <c r="M158" s="118">
        <f>IF(ISNUMBER(I158),I158*F158,F158)</f>
        <v>0</v>
      </c>
      <c r="N158" s="118"/>
    </row>
    <row r="159" spans="4:15" x14ac:dyDescent="0.3">
      <c r="D159" s="151" t="s">
        <v>688</v>
      </c>
      <c r="E159" s="138" t="s">
        <v>462</v>
      </c>
      <c r="F159" s="152">
        <v>0.9</v>
      </c>
      <c r="G159" s="69"/>
      <c r="H159" s="69"/>
      <c r="I159" s="119">
        <v>0</v>
      </c>
      <c r="J159" s="379">
        <f t="shared" si="36"/>
        <v>0</v>
      </c>
      <c r="K159" s="118">
        <f>F159-L159-M159</f>
        <v>0.9</v>
      </c>
      <c r="L159" s="118">
        <f>H159*$F159</f>
        <v>0</v>
      </c>
      <c r="M159" s="118">
        <f>IF(ISNUMBER(I159),I159*F159,F159)</f>
        <v>0</v>
      </c>
      <c r="N159" s="118"/>
    </row>
    <row r="160" spans="4:15" x14ac:dyDescent="0.3">
      <c r="D160" s="151" t="s">
        <v>687</v>
      </c>
      <c r="E160" s="138" t="s">
        <v>462</v>
      </c>
      <c r="F160" s="152">
        <v>17.7</v>
      </c>
      <c r="G160" s="69"/>
      <c r="H160" s="69"/>
      <c r="I160" s="119">
        <v>0</v>
      </c>
      <c r="J160" s="379">
        <f t="shared" si="36"/>
        <v>0</v>
      </c>
      <c r="K160" s="118">
        <f>F160-L160-M160</f>
        <v>17.7</v>
      </c>
      <c r="L160" s="118">
        <f>H160*$F160</f>
        <v>0</v>
      </c>
      <c r="M160" s="118">
        <f>IF(ISNUMBER(I160),I160*F160,F160)</f>
        <v>0</v>
      </c>
      <c r="N160" s="118"/>
    </row>
    <row r="161" spans="3:15" x14ac:dyDescent="0.3">
      <c r="D161" s="151" t="s">
        <v>686</v>
      </c>
      <c r="E161" s="138" t="s">
        <v>462</v>
      </c>
      <c r="F161" s="150">
        <v>1.7</v>
      </c>
      <c r="G161" s="69"/>
      <c r="H161" s="69"/>
      <c r="I161" s="119">
        <v>0</v>
      </c>
      <c r="J161" s="379">
        <f t="shared" si="36"/>
        <v>0</v>
      </c>
      <c r="K161" s="118">
        <f>F161-L161-M161</f>
        <v>1.7</v>
      </c>
      <c r="L161" s="118">
        <f>H161*$F161</f>
        <v>0</v>
      </c>
      <c r="M161" s="118">
        <f>IF(ISNUMBER(I161),I161*F161,F161)</f>
        <v>0</v>
      </c>
      <c r="N161" s="118"/>
    </row>
    <row r="162" spans="3:15" x14ac:dyDescent="0.3">
      <c r="C162" s="87" t="s">
        <v>1</v>
      </c>
      <c r="D162" s="73" t="s">
        <v>685</v>
      </c>
      <c r="E162" s="73" t="s">
        <v>651</v>
      </c>
      <c r="F162" s="84">
        <f>F163+F169+F170+F174+F184+F197</f>
        <v>321.31</v>
      </c>
      <c r="G162" s="171"/>
      <c r="H162" s="171"/>
      <c r="I162" s="171"/>
      <c r="J162" s="418"/>
      <c r="K162" s="84">
        <f>K163+K169+K170+K174+K184+K197</f>
        <v>132.75</v>
      </c>
      <c r="L162" s="84">
        <f>L163+L169+L170+L174+L184+L197</f>
        <v>0</v>
      </c>
      <c r="M162" s="84">
        <f>M163+M169+M170+M174+M184+M197</f>
        <v>188.56</v>
      </c>
      <c r="N162" s="84"/>
      <c r="O162" s="359">
        <f>+M162/F162</f>
        <v>0.5868475926675174</v>
      </c>
    </row>
    <row r="163" spans="3:15" s="310" customFormat="1" x14ac:dyDescent="0.3">
      <c r="D163" s="11" t="s">
        <v>684</v>
      </c>
      <c r="E163" s="42" t="s">
        <v>651</v>
      </c>
      <c r="F163" s="148">
        <f>SUM(F164:F168)</f>
        <v>2.6500000000000004</v>
      </c>
      <c r="G163" s="172"/>
      <c r="H163" s="172"/>
      <c r="I163" s="173"/>
      <c r="J163" s="419"/>
      <c r="K163" s="148">
        <f>SUM(K164:K168)</f>
        <v>2.6500000000000004</v>
      </c>
      <c r="L163" s="148">
        <f>SUM(L164:L168)</f>
        <v>0</v>
      </c>
      <c r="M163" s="148">
        <f>SUM(M164:M168)</f>
        <v>0</v>
      </c>
      <c r="N163" s="148"/>
    </row>
    <row r="164" spans="3:15" s="310" customFormat="1" x14ac:dyDescent="0.3">
      <c r="D164" s="41" t="s">
        <v>63</v>
      </c>
      <c r="E164" s="42" t="s">
        <v>651</v>
      </c>
      <c r="F164" s="74">
        <v>0.7</v>
      </c>
      <c r="G164" s="147"/>
      <c r="H164" s="147"/>
      <c r="I164" s="146">
        <v>0</v>
      </c>
      <c r="J164" s="419">
        <f t="shared" si="36"/>
        <v>0</v>
      </c>
      <c r="K164" s="149">
        <f t="shared" ref="K164:K169" si="40">F164-L164-M164</f>
        <v>0.7</v>
      </c>
      <c r="L164" s="149">
        <f t="shared" ref="L164:L169" si="41">H164*$F164</f>
        <v>0</v>
      </c>
      <c r="M164" s="149">
        <f t="shared" ref="M164:M169" si="42">IF(ISNUMBER(I164),I164*F164,F164)</f>
        <v>0</v>
      </c>
      <c r="N164" s="149"/>
    </row>
    <row r="165" spans="3:15" s="310" customFormat="1" x14ac:dyDescent="0.3">
      <c r="D165" s="41" t="s">
        <v>683</v>
      </c>
      <c r="E165" s="42" t="s">
        <v>651</v>
      </c>
      <c r="F165" s="74">
        <v>0.52</v>
      </c>
      <c r="G165" s="147"/>
      <c r="H165" s="147"/>
      <c r="I165" s="146">
        <v>0</v>
      </c>
      <c r="J165" s="419">
        <f t="shared" si="36"/>
        <v>0</v>
      </c>
      <c r="K165" s="149">
        <f t="shared" si="40"/>
        <v>0.52</v>
      </c>
      <c r="L165" s="149">
        <f t="shared" si="41"/>
        <v>0</v>
      </c>
      <c r="M165" s="149">
        <f t="shared" si="42"/>
        <v>0</v>
      </c>
      <c r="N165" s="149"/>
    </row>
    <row r="166" spans="3:15" s="310" customFormat="1" x14ac:dyDescent="0.3">
      <c r="D166" s="41" t="s">
        <v>682</v>
      </c>
      <c r="E166" s="42" t="s">
        <v>651</v>
      </c>
      <c r="F166" s="74">
        <v>0.86</v>
      </c>
      <c r="G166" s="147"/>
      <c r="H166" s="147"/>
      <c r="I166" s="146">
        <v>0</v>
      </c>
      <c r="J166" s="419">
        <f t="shared" si="36"/>
        <v>0</v>
      </c>
      <c r="K166" s="149">
        <f t="shared" si="40"/>
        <v>0.86</v>
      </c>
      <c r="L166" s="149">
        <f t="shared" si="41"/>
        <v>0</v>
      </c>
      <c r="M166" s="149">
        <f t="shared" si="42"/>
        <v>0</v>
      </c>
      <c r="N166" s="149"/>
    </row>
    <row r="167" spans="3:15" s="310" customFormat="1" x14ac:dyDescent="0.3">
      <c r="D167" s="41" t="s">
        <v>681</v>
      </c>
      <c r="E167" s="42" t="s">
        <v>651</v>
      </c>
      <c r="F167" s="74">
        <v>0.45</v>
      </c>
      <c r="G167" s="147"/>
      <c r="H167" s="147"/>
      <c r="I167" s="146">
        <v>0</v>
      </c>
      <c r="J167" s="419">
        <f t="shared" si="36"/>
        <v>0</v>
      </c>
      <c r="K167" s="149">
        <f t="shared" si="40"/>
        <v>0.45</v>
      </c>
      <c r="L167" s="149">
        <f t="shared" si="41"/>
        <v>0</v>
      </c>
      <c r="M167" s="149">
        <f t="shared" si="42"/>
        <v>0</v>
      </c>
      <c r="N167" s="149"/>
    </row>
    <row r="168" spans="3:15" s="310" customFormat="1" x14ac:dyDescent="0.3">
      <c r="D168" s="41" t="s">
        <v>680</v>
      </c>
      <c r="E168" s="42" t="s">
        <v>651</v>
      </c>
      <c r="F168" s="74">
        <v>0.12</v>
      </c>
      <c r="G168" s="147"/>
      <c r="H168" s="147"/>
      <c r="I168" s="146">
        <v>0</v>
      </c>
      <c r="J168" s="419">
        <f t="shared" si="36"/>
        <v>0</v>
      </c>
      <c r="K168" s="149">
        <f t="shared" si="40"/>
        <v>0.12</v>
      </c>
      <c r="L168" s="149">
        <f t="shared" si="41"/>
        <v>0</v>
      </c>
      <c r="M168" s="149">
        <f t="shared" si="42"/>
        <v>0</v>
      </c>
      <c r="N168" s="149"/>
    </row>
    <row r="169" spans="3:15" s="310" customFormat="1" x14ac:dyDescent="0.3">
      <c r="D169" s="11" t="s">
        <v>679</v>
      </c>
      <c r="E169" s="42" t="s">
        <v>651</v>
      </c>
      <c r="F169" s="148">
        <v>129.1</v>
      </c>
      <c r="G169" s="147"/>
      <c r="H169" s="147"/>
      <c r="I169" s="146">
        <v>0</v>
      </c>
      <c r="J169" s="419">
        <f t="shared" si="36"/>
        <v>0</v>
      </c>
      <c r="K169" s="149">
        <f t="shared" si="40"/>
        <v>129.1</v>
      </c>
      <c r="L169" s="149">
        <f t="shared" si="41"/>
        <v>0</v>
      </c>
      <c r="M169" s="149">
        <f t="shared" si="42"/>
        <v>0</v>
      </c>
      <c r="N169" s="149"/>
    </row>
    <row r="170" spans="3:15" s="310" customFormat="1" x14ac:dyDescent="0.3">
      <c r="D170" s="11" t="s">
        <v>678</v>
      </c>
      <c r="E170" s="42" t="s">
        <v>651</v>
      </c>
      <c r="F170" s="148">
        <f>SUM(F171:F173)</f>
        <v>74.86</v>
      </c>
      <c r="G170" s="172"/>
      <c r="H170" s="172"/>
      <c r="I170" s="173"/>
      <c r="J170" s="419"/>
      <c r="K170" s="148">
        <f>SUM(K171:K173)</f>
        <v>0</v>
      </c>
      <c r="L170" s="148">
        <f>SUM(L171:L173)</f>
        <v>0</v>
      </c>
      <c r="M170" s="148">
        <f>SUM(M171:M173)</f>
        <v>74.86</v>
      </c>
      <c r="N170" s="148"/>
    </row>
    <row r="171" spans="3:15" s="310" customFormat="1" x14ac:dyDescent="0.3">
      <c r="D171" s="41" t="s">
        <v>677</v>
      </c>
      <c r="E171" s="42" t="s">
        <v>651</v>
      </c>
      <c r="F171" s="74">
        <v>59.2</v>
      </c>
      <c r="G171" s="147"/>
      <c r="H171" s="147"/>
      <c r="I171" s="146">
        <v>1</v>
      </c>
      <c r="J171" s="419">
        <f t="shared" si="36"/>
        <v>1</v>
      </c>
      <c r="K171" s="149">
        <f>F171-L171-M171</f>
        <v>0</v>
      </c>
      <c r="L171" s="149">
        <f>H171*$F171</f>
        <v>0</v>
      </c>
      <c r="M171" s="149">
        <f>IF(ISNUMBER(I171),I171*F171,F171)</f>
        <v>59.2</v>
      </c>
      <c r="N171" s="149"/>
    </row>
    <row r="172" spans="3:15" s="310" customFormat="1" x14ac:dyDescent="0.3">
      <c r="D172" s="41" t="s">
        <v>676</v>
      </c>
      <c r="E172" s="42" t="s">
        <v>651</v>
      </c>
      <c r="F172" s="74">
        <v>9.9600000000000009</v>
      </c>
      <c r="G172" s="147"/>
      <c r="H172" s="147"/>
      <c r="I172" s="146">
        <v>1</v>
      </c>
      <c r="J172" s="419">
        <f t="shared" si="36"/>
        <v>1</v>
      </c>
      <c r="K172" s="149">
        <f>F172-L172-M172</f>
        <v>0</v>
      </c>
      <c r="L172" s="149">
        <f>H172*$F172</f>
        <v>0</v>
      </c>
      <c r="M172" s="149">
        <f>IF(ISNUMBER(I172),I172*F172,F172)</f>
        <v>9.9600000000000009</v>
      </c>
      <c r="N172" s="149"/>
    </row>
    <row r="173" spans="3:15" s="310" customFormat="1" x14ac:dyDescent="0.3">
      <c r="D173" s="41" t="s">
        <v>675</v>
      </c>
      <c r="E173" s="42" t="s">
        <v>651</v>
      </c>
      <c r="F173" s="74">
        <v>5.7</v>
      </c>
      <c r="G173" s="147"/>
      <c r="H173" s="147"/>
      <c r="I173" s="146">
        <v>1</v>
      </c>
      <c r="J173" s="419">
        <f t="shared" si="36"/>
        <v>1</v>
      </c>
      <c r="K173" s="149">
        <f>F173-L173-M173</f>
        <v>0</v>
      </c>
      <c r="L173" s="149">
        <f>H173*$F173</f>
        <v>0</v>
      </c>
      <c r="M173" s="149">
        <f>IF(ISNUMBER(I173),I173*F173,F173)</f>
        <v>5.7</v>
      </c>
      <c r="N173" s="149"/>
    </row>
    <row r="174" spans="3:15" s="310" customFormat="1" x14ac:dyDescent="0.3">
      <c r="D174" s="11" t="s">
        <v>674</v>
      </c>
      <c r="E174" s="42" t="s">
        <v>651</v>
      </c>
      <c r="F174" s="148">
        <f>SUM(F175:F183)</f>
        <v>27.951199999999996</v>
      </c>
      <c r="G174" s="172"/>
      <c r="H174" s="172"/>
      <c r="I174" s="173"/>
      <c r="J174" s="419">
        <f t="shared" si="36"/>
        <v>0</v>
      </c>
      <c r="K174" s="148">
        <f>SUM(K175:K183)</f>
        <v>0</v>
      </c>
      <c r="L174" s="148">
        <f>SUM(L175:L183)</f>
        <v>0</v>
      </c>
      <c r="M174" s="148">
        <f>SUM(M175:M183)</f>
        <v>27.951199999999996</v>
      </c>
      <c r="N174" s="148"/>
    </row>
    <row r="175" spans="3:15" s="310" customFormat="1" x14ac:dyDescent="0.3">
      <c r="D175" s="41" t="s">
        <v>673</v>
      </c>
      <c r="E175" s="42" t="s">
        <v>651</v>
      </c>
      <c r="F175" s="74">
        <v>10.100099999999999</v>
      </c>
      <c r="G175" s="172"/>
      <c r="H175" s="172"/>
      <c r="I175" s="173"/>
      <c r="J175" s="419">
        <f t="shared" si="36"/>
        <v>0</v>
      </c>
      <c r="K175" s="149">
        <f t="shared" ref="K175:K183" si="43">F175-L175-M175</f>
        <v>0</v>
      </c>
      <c r="L175" s="149">
        <f t="shared" ref="L175:L183" si="44">H175*$F175</f>
        <v>0</v>
      </c>
      <c r="M175" s="149">
        <f t="shared" ref="M175:M183" si="45">IF(ISNUMBER(I175),I175*F175,F175)</f>
        <v>10.100099999999999</v>
      </c>
      <c r="N175" s="149"/>
    </row>
    <row r="176" spans="3:15" s="310" customFormat="1" x14ac:dyDescent="0.3">
      <c r="D176" s="41" t="s">
        <v>672</v>
      </c>
      <c r="E176" s="42" t="s">
        <v>651</v>
      </c>
      <c r="F176" s="74">
        <v>2.6</v>
      </c>
      <c r="G176" s="147"/>
      <c r="H176" s="147"/>
      <c r="I176" s="146" t="s">
        <v>256</v>
      </c>
      <c r="J176" s="419">
        <f t="shared" si="36"/>
        <v>1</v>
      </c>
      <c r="K176" s="149">
        <f t="shared" si="43"/>
        <v>0</v>
      </c>
      <c r="L176" s="149">
        <f t="shared" si="44"/>
        <v>0</v>
      </c>
      <c r="M176" s="149">
        <f t="shared" si="45"/>
        <v>2.6</v>
      </c>
      <c r="N176" s="149"/>
    </row>
    <row r="177" spans="4:14" s="310" customFormat="1" x14ac:dyDescent="0.3">
      <c r="D177" s="41" t="s">
        <v>671</v>
      </c>
      <c r="E177" s="42" t="s">
        <v>651</v>
      </c>
      <c r="F177" s="74">
        <v>0.25900000000000001</v>
      </c>
      <c r="G177" s="147"/>
      <c r="H177" s="147"/>
      <c r="I177" s="146" t="s">
        <v>256</v>
      </c>
      <c r="J177" s="419">
        <f t="shared" si="36"/>
        <v>1</v>
      </c>
      <c r="K177" s="149">
        <f t="shared" si="43"/>
        <v>0</v>
      </c>
      <c r="L177" s="149">
        <f t="shared" si="44"/>
        <v>0</v>
      </c>
      <c r="M177" s="149">
        <f t="shared" si="45"/>
        <v>0.25900000000000001</v>
      </c>
      <c r="N177" s="149"/>
    </row>
    <row r="178" spans="4:14" s="310" customFormat="1" x14ac:dyDescent="0.3">
      <c r="D178" s="41" t="s">
        <v>670</v>
      </c>
      <c r="E178" s="42" t="s">
        <v>651</v>
      </c>
      <c r="F178" s="74">
        <v>2.0409999999999999</v>
      </c>
      <c r="G178" s="147"/>
      <c r="H178" s="147"/>
      <c r="I178" s="146" t="s">
        <v>256</v>
      </c>
      <c r="J178" s="419">
        <f t="shared" si="36"/>
        <v>1</v>
      </c>
      <c r="K178" s="149">
        <f t="shared" si="43"/>
        <v>0</v>
      </c>
      <c r="L178" s="149">
        <f t="shared" si="44"/>
        <v>0</v>
      </c>
      <c r="M178" s="149">
        <f t="shared" si="45"/>
        <v>2.0409999999999999</v>
      </c>
      <c r="N178" s="149"/>
    </row>
    <row r="179" spans="4:14" s="310" customFormat="1" x14ac:dyDescent="0.3">
      <c r="D179" s="41" t="s">
        <v>669</v>
      </c>
      <c r="E179" s="42" t="s">
        <v>651</v>
      </c>
      <c r="F179" s="74">
        <v>5.2000999999999999</v>
      </c>
      <c r="G179" s="147"/>
      <c r="H179" s="147"/>
      <c r="I179" s="146" t="s">
        <v>256</v>
      </c>
      <c r="J179" s="419">
        <f t="shared" si="36"/>
        <v>1</v>
      </c>
      <c r="K179" s="149">
        <f t="shared" si="43"/>
        <v>0</v>
      </c>
      <c r="L179" s="149">
        <f t="shared" si="44"/>
        <v>0</v>
      </c>
      <c r="M179" s="149">
        <f t="shared" si="45"/>
        <v>5.2000999999999999</v>
      </c>
      <c r="N179" s="149"/>
    </row>
    <row r="180" spans="4:14" s="310" customFormat="1" x14ac:dyDescent="0.3">
      <c r="D180" s="41" t="s">
        <v>668</v>
      </c>
      <c r="E180" s="42" t="s">
        <v>651</v>
      </c>
      <c r="F180" s="74">
        <v>3.3755000000000002</v>
      </c>
      <c r="G180" s="172"/>
      <c r="H180" s="172"/>
      <c r="I180" s="173"/>
      <c r="J180" s="419">
        <f t="shared" si="36"/>
        <v>0</v>
      </c>
      <c r="K180" s="149">
        <f t="shared" si="43"/>
        <v>0</v>
      </c>
      <c r="L180" s="149">
        <f t="shared" si="44"/>
        <v>0</v>
      </c>
      <c r="M180" s="149">
        <f t="shared" si="45"/>
        <v>3.3755000000000002</v>
      </c>
      <c r="N180" s="149"/>
    </row>
    <row r="181" spans="4:14" s="310" customFormat="1" x14ac:dyDescent="0.3">
      <c r="D181" s="41" t="s">
        <v>667</v>
      </c>
      <c r="E181" s="42" t="s">
        <v>651</v>
      </c>
      <c r="F181" s="74">
        <v>3</v>
      </c>
      <c r="G181" s="147"/>
      <c r="H181" s="147"/>
      <c r="I181" s="146" t="s">
        <v>256</v>
      </c>
      <c r="J181" s="419">
        <f t="shared" si="36"/>
        <v>1</v>
      </c>
      <c r="K181" s="149">
        <f t="shared" si="43"/>
        <v>0</v>
      </c>
      <c r="L181" s="149">
        <f t="shared" si="44"/>
        <v>0</v>
      </c>
      <c r="M181" s="149">
        <f t="shared" si="45"/>
        <v>3</v>
      </c>
      <c r="N181" s="149"/>
    </row>
    <row r="182" spans="4:14" s="310" customFormat="1" x14ac:dyDescent="0.3">
      <c r="D182" s="41" t="s">
        <v>666</v>
      </c>
      <c r="E182" s="42" t="s">
        <v>651</v>
      </c>
      <c r="F182" s="74">
        <v>0.3755</v>
      </c>
      <c r="G182" s="147"/>
      <c r="H182" s="147"/>
      <c r="I182" s="146" t="s">
        <v>256</v>
      </c>
      <c r="J182" s="419">
        <f t="shared" si="36"/>
        <v>1</v>
      </c>
      <c r="K182" s="149">
        <f t="shared" si="43"/>
        <v>0</v>
      </c>
      <c r="L182" s="149">
        <f t="shared" si="44"/>
        <v>0</v>
      </c>
      <c r="M182" s="149">
        <f t="shared" si="45"/>
        <v>0.3755</v>
      </c>
      <c r="N182" s="149"/>
    </row>
    <row r="183" spans="4:14" s="310" customFormat="1" x14ac:dyDescent="0.3">
      <c r="D183" s="41" t="s">
        <v>665</v>
      </c>
      <c r="E183" s="42" t="s">
        <v>651</v>
      </c>
      <c r="F183" s="74">
        <v>1</v>
      </c>
      <c r="G183" s="147"/>
      <c r="H183" s="147"/>
      <c r="I183" s="146" t="s">
        <v>256</v>
      </c>
      <c r="J183" s="419">
        <f t="shared" si="36"/>
        <v>1</v>
      </c>
      <c r="K183" s="149">
        <f t="shared" si="43"/>
        <v>0</v>
      </c>
      <c r="L183" s="149">
        <f t="shared" si="44"/>
        <v>0</v>
      </c>
      <c r="M183" s="149">
        <f t="shared" si="45"/>
        <v>1</v>
      </c>
      <c r="N183" s="149"/>
    </row>
    <row r="184" spans="4:14" s="310" customFormat="1" x14ac:dyDescent="0.3">
      <c r="D184" s="11" t="s">
        <v>664</v>
      </c>
      <c r="E184" s="42" t="s">
        <v>651</v>
      </c>
      <c r="F184" s="148">
        <f>SUM(F185:F195)</f>
        <v>59.84879999999999</v>
      </c>
      <c r="G184" s="172"/>
      <c r="H184" s="172"/>
      <c r="I184" s="173"/>
      <c r="J184" s="419"/>
      <c r="K184" s="148">
        <f>SUM(K185:K195)</f>
        <v>1</v>
      </c>
      <c r="L184" s="148">
        <f>SUM(L185:L195)</f>
        <v>0</v>
      </c>
      <c r="M184" s="148">
        <f>SUM(M185:M195)</f>
        <v>58.84879999999999</v>
      </c>
      <c r="N184" s="148"/>
    </row>
    <row r="185" spans="4:14" s="310" customFormat="1" x14ac:dyDescent="0.3">
      <c r="D185" s="41" t="s">
        <v>663</v>
      </c>
      <c r="E185" s="42" t="s">
        <v>651</v>
      </c>
      <c r="F185" s="74">
        <v>11.7</v>
      </c>
      <c r="G185" s="172"/>
      <c r="H185" s="172"/>
      <c r="I185" s="173"/>
      <c r="J185" s="419">
        <f t="shared" si="36"/>
        <v>0</v>
      </c>
      <c r="K185" s="149">
        <f t="shared" ref="K185:K195" si="46">F185-L185-M185</f>
        <v>0</v>
      </c>
      <c r="L185" s="149">
        <f t="shared" ref="L185:L195" si="47">H185*$F185</f>
        <v>0</v>
      </c>
      <c r="M185" s="149">
        <f t="shared" ref="M185:M195" si="48">IF(ISNUMBER(I185),I185*F185,F185)</f>
        <v>11.7</v>
      </c>
      <c r="N185" s="149"/>
    </row>
    <row r="186" spans="4:14" s="310" customFormat="1" x14ac:dyDescent="0.3">
      <c r="D186" s="41" t="s">
        <v>662</v>
      </c>
      <c r="E186" s="42" t="s">
        <v>651</v>
      </c>
      <c r="F186" s="74">
        <v>8.8000000000000007</v>
      </c>
      <c r="G186" s="147"/>
      <c r="H186" s="147"/>
      <c r="I186" s="146" t="s">
        <v>256</v>
      </c>
      <c r="J186" s="419">
        <f t="shared" si="36"/>
        <v>1</v>
      </c>
      <c r="K186" s="149">
        <f t="shared" si="46"/>
        <v>0</v>
      </c>
      <c r="L186" s="149">
        <f t="shared" si="47"/>
        <v>0</v>
      </c>
      <c r="M186" s="149">
        <f t="shared" si="48"/>
        <v>8.8000000000000007</v>
      </c>
      <c r="N186" s="149"/>
    </row>
    <row r="187" spans="4:14" s="310" customFormat="1" x14ac:dyDescent="0.3">
      <c r="D187" s="41" t="s">
        <v>661</v>
      </c>
      <c r="E187" s="42" t="s">
        <v>651</v>
      </c>
      <c r="F187" s="74">
        <v>2.5</v>
      </c>
      <c r="G187" s="147"/>
      <c r="H187" s="147"/>
      <c r="I187" s="146" t="s">
        <v>256</v>
      </c>
      <c r="J187" s="419">
        <f t="shared" si="36"/>
        <v>1</v>
      </c>
      <c r="K187" s="149">
        <f t="shared" si="46"/>
        <v>0</v>
      </c>
      <c r="L187" s="149">
        <f t="shared" si="47"/>
        <v>0</v>
      </c>
      <c r="M187" s="149">
        <f t="shared" si="48"/>
        <v>2.5</v>
      </c>
      <c r="N187" s="149"/>
    </row>
    <row r="188" spans="4:14" s="310" customFormat="1" x14ac:dyDescent="0.3">
      <c r="D188" s="41" t="s">
        <v>660</v>
      </c>
      <c r="E188" s="42" t="s">
        <v>651</v>
      </c>
      <c r="F188" s="74">
        <v>0.4</v>
      </c>
      <c r="G188" s="147"/>
      <c r="H188" s="147"/>
      <c r="I188" s="146" t="s">
        <v>256</v>
      </c>
      <c r="J188" s="419">
        <f t="shared" si="36"/>
        <v>1</v>
      </c>
      <c r="K188" s="149">
        <f t="shared" si="46"/>
        <v>0</v>
      </c>
      <c r="L188" s="149">
        <f t="shared" si="47"/>
        <v>0</v>
      </c>
      <c r="M188" s="149">
        <f t="shared" si="48"/>
        <v>0.4</v>
      </c>
      <c r="N188" s="149"/>
    </row>
    <row r="189" spans="4:14" s="310" customFormat="1" x14ac:dyDescent="0.3">
      <c r="D189" s="41" t="s">
        <v>659</v>
      </c>
      <c r="E189" s="42" t="s">
        <v>651</v>
      </c>
      <c r="F189" s="74">
        <v>17.724399999999999</v>
      </c>
      <c r="G189" s="172"/>
      <c r="H189" s="172"/>
      <c r="I189" s="173"/>
      <c r="J189" s="419">
        <f t="shared" si="36"/>
        <v>0</v>
      </c>
      <c r="K189" s="149">
        <f t="shared" si="46"/>
        <v>0</v>
      </c>
      <c r="L189" s="149">
        <f t="shared" si="47"/>
        <v>0</v>
      </c>
      <c r="M189" s="149">
        <f t="shared" si="48"/>
        <v>17.724399999999999</v>
      </c>
      <c r="N189" s="149"/>
    </row>
    <row r="190" spans="4:14" s="310" customFormat="1" x14ac:dyDescent="0.3">
      <c r="D190" s="41" t="s">
        <v>658</v>
      </c>
      <c r="E190" s="42" t="s">
        <v>651</v>
      </c>
      <c r="F190" s="74">
        <v>2</v>
      </c>
      <c r="G190" s="147"/>
      <c r="H190" s="147"/>
      <c r="I190" s="146" t="s">
        <v>256</v>
      </c>
      <c r="J190" s="419">
        <f t="shared" si="36"/>
        <v>1</v>
      </c>
      <c r="K190" s="149">
        <f t="shared" si="46"/>
        <v>0</v>
      </c>
      <c r="L190" s="149">
        <f t="shared" si="47"/>
        <v>0</v>
      </c>
      <c r="M190" s="149">
        <f t="shared" si="48"/>
        <v>2</v>
      </c>
      <c r="N190" s="149"/>
    </row>
    <row r="191" spans="4:14" s="310" customFormat="1" x14ac:dyDescent="0.3">
      <c r="D191" s="41" t="s">
        <v>657</v>
      </c>
      <c r="E191" s="42" t="s">
        <v>651</v>
      </c>
      <c r="F191" s="74">
        <v>2</v>
      </c>
      <c r="G191" s="147"/>
      <c r="H191" s="147"/>
      <c r="I191" s="146" t="s">
        <v>256</v>
      </c>
      <c r="J191" s="419">
        <f t="shared" si="36"/>
        <v>1</v>
      </c>
      <c r="K191" s="149">
        <f t="shared" si="46"/>
        <v>0</v>
      </c>
      <c r="L191" s="149">
        <f t="shared" si="47"/>
        <v>0</v>
      </c>
      <c r="M191" s="149">
        <f t="shared" si="48"/>
        <v>2</v>
      </c>
      <c r="N191" s="149"/>
    </row>
    <row r="192" spans="4:14" s="310" customFormat="1" x14ac:dyDescent="0.3">
      <c r="D192" s="41" t="s">
        <v>656</v>
      </c>
      <c r="E192" s="42" t="s">
        <v>651</v>
      </c>
      <c r="F192" s="74">
        <v>4.2843999999999998</v>
      </c>
      <c r="G192" s="147"/>
      <c r="H192" s="147"/>
      <c r="I192" s="146" t="s">
        <v>256</v>
      </c>
      <c r="J192" s="419">
        <f t="shared" si="36"/>
        <v>1</v>
      </c>
      <c r="K192" s="149">
        <f t="shared" si="46"/>
        <v>0</v>
      </c>
      <c r="L192" s="149">
        <f t="shared" si="47"/>
        <v>0</v>
      </c>
      <c r="M192" s="149">
        <f t="shared" si="48"/>
        <v>4.2843999999999998</v>
      </c>
      <c r="N192" s="149"/>
    </row>
    <row r="193" spans="3:16" s="310" customFormat="1" x14ac:dyDescent="0.3">
      <c r="D193" s="41" t="s">
        <v>655</v>
      </c>
      <c r="E193" s="42" t="s">
        <v>651</v>
      </c>
      <c r="F193" s="74">
        <v>9</v>
      </c>
      <c r="G193" s="147"/>
      <c r="H193" s="147"/>
      <c r="I193" s="146" t="s">
        <v>256</v>
      </c>
      <c r="J193" s="419">
        <f t="shared" si="36"/>
        <v>1</v>
      </c>
      <c r="K193" s="149">
        <f t="shared" si="46"/>
        <v>0</v>
      </c>
      <c r="L193" s="149">
        <f t="shared" si="47"/>
        <v>0</v>
      </c>
      <c r="M193" s="149">
        <f t="shared" si="48"/>
        <v>9</v>
      </c>
      <c r="N193" s="149"/>
    </row>
    <row r="194" spans="3:16" s="310" customFormat="1" x14ac:dyDescent="0.3">
      <c r="D194" s="41" t="s">
        <v>654</v>
      </c>
      <c r="E194" s="42" t="s">
        <v>651</v>
      </c>
      <c r="F194" s="74">
        <v>0.44</v>
      </c>
      <c r="G194" s="147"/>
      <c r="H194" s="147"/>
      <c r="I194" s="146" t="s">
        <v>256</v>
      </c>
      <c r="J194" s="419">
        <f t="shared" si="36"/>
        <v>1</v>
      </c>
      <c r="K194" s="149">
        <f t="shared" si="46"/>
        <v>0</v>
      </c>
      <c r="L194" s="149">
        <f t="shared" si="47"/>
        <v>0</v>
      </c>
      <c r="M194" s="149">
        <f t="shared" si="48"/>
        <v>0.44</v>
      </c>
      <c r="N194" s="149"/>
    </row>
    <row r="195" spans="3:16" s="310" customFormat="1" x14ac:dyDescent="0.3">
      <c r="D195" s="41" t="s">
        <v>653</v>
      </c>
      <c r="E195" s="42" t="s">
        <v>651</v>
      </c>
      <c r="F195" s="74">
        <v>1</v>
      </c>
      <c r="G195" s="147"/>
      <c r="H195" s="147"/>
      <c r="I195" s="146">
        <v>0</v>
      </c>
      <c r="J195" s="419">
        <f t="shared" si="36"/>
        <v>0</v>
      </c>
      <c r="K195" s="149">
        <f t="shared" si="46"/>
        <v>1</v>
      </c>
      <c r="L195" s="149">
        <f t="shared" si="47"/>
        <v>0</v>
      </c>
      <c r="M195" s="149">
        <f t="shared" si="48"/>
        <v>0</v>
      </c>
      <c r="N195" s="149"/>
    </row>
    <row r="196" spans="3:16" s="310" customFormat="1" x14ac:dyDescent="0.3">
      <c r="D196" s="41"/>
      <c r="E196" s="42"/>
      <c r="F196" s="74"/>
      <c r="G196" s="147"/>
      <c r="H196" s="147"/>
      <c r="I196" s="146"/>
      <c r="J196" s="419"/>
      <c r="K196" s="149"/>
      <c r="L196" s="149"/>
      <c r="M196" s="149"/>
      <c r="N196" s="149"/>
    </row>
    <row r="197" spans="3:16" s="310" customFormat="1" ht="19.5" customHeight="1" x14ac:dyDescent="0.3">
      <c r="D197" s="11" t="s">
        <v>652</v>
      </c>
      <c r="E197" s="42" t="s">
        <v>651</v>
      </c>
      <c r="F197" s="148">
        <v>26.9</v>
      </c>
      <c r="G197" s="147"/>
      <c r="H197" s="147"/>
      <c r="I197" s="146" t="s">
        <v>256</v>
      </c>
      <c r="J197" s="419">
        <f t="shared" si="36"/>
        <v>1</v>
      </c>
      <c r="K197" s="145">
        <f>F197-L197-M197</f>
        <v>0</v>
      </c>
      <c r="L197" s="145">
        <f>H197*$F197</f>
        <v>0</v>
      </c>
      <c r="M197" s="145">
        <f>IF(ISNUMBER(I197),I197*F197,F197)</f>
        <v>26.9</v>
      </c>
      <c r="N197" s="145"/>
      <c r="P197" s="310" t="s">
        <v>650</v>
      </c>
    </row>
    <row r="198" spans="3:16" x14ac:dyDescent="0.3">
      <c r="C198" s="87" t="s">
        <v>1</v>
      </c>
      <c r="D198" s="144" t="s">
        <v>649</v>
      </c>
      <c r="E198" s="144" t="s">
        <v>4</v>
      </c>
      <c r="F198" s="143">
        <f>F199+F206+F210+F218+F229+F232+F233</f>
        <v>2066.08</v>
      </c>
      <c r="G198" s="143"/>
      <c r="H198" s="143"/>
      <c r="I198" s="143"/>
      <c r="J198" s="384"/>
      <c r="K198" s="143">
        <f>K199+K206+K210+K218+K229+K232+K233</f>
        <v>1742.1433088259039</v>
      </c>
      <c r="L198" s="143">
        <f>L199+L206+L210+L218+L229+L232+L233</f>
        <v>6.4192626535578592</v>
      </c>
      <c r="M198" s="143">
        <f>M199+M206+M210+M218+M229+M232+M233</f>
        <v>317.51742852053826</v>
      </c>
      <c r="N198" s="143"/>
      <c r="O198" s="362"/>
    </row>
    <row r="199" spans="3:16" x14ac:dyDescent="0.3">
      <c r="D199" s="141" t="s">
        <v>648</v>
      </c>
      <c r="E199" s="137" t="s">
        <v>4</v>
      </c>
      <c r="F199" s="139">
        <f>SUM(F200:F205)</f>
        <v>266.04000000000002</v>
      </c>
      <c r="K199" s="139">
        <f>SUM(K200:K205)</f>
        <v>34.839999999999996</v>
      </c>
      <c r="L199" s="139">
        <f>SUM(L200:L205)</f>
        <v>0</v>
      </c>
      <c r="M199" s="139">
        <f>SUM(M200:M205)</f>
        <v>231.20000000000002</v>
      </c>
      <c r="N199" s="139"/>
    </row>
    <row r="200" spans="3:16" x14ac:dyDescent="0.3">
      <c r="D200" s="138" t="s">
        <v>647</v>
      </c>
      <c r="E200" s="137" t="s">
        <v>4</v>
      </c>
      <c r="F200" s="136">
        <v>14.4</v>
      </c>
      <c r="G200" s="69"/>
      <c r="H200" s="69"/>
      <c r="I200" s="119">
        <v>0</v>
      </c>
      <c r="J200" s="379">
        <f t="shared" ref="J200:J262" si="49">+IF(I200&lt;&gt;0, 1,0)</f>
        <v>0</v>
      </c>
      <c r="K200" s="118">
        <f t="shared" ref="K200:K205" si="50">F200-L200-M200</f>
        <v>14.4</v>
      </c>
      <c r="L200" s="118">
        <f t="shared" ref="L200:L205" si="51">H200*$F200</f>
        <v>0</v>
      </c>
      <c r="M200" s="118">
        <f t="shared" ref="M200:M205" si="52">IF(ISNUMBER(I200),I200*F200,F200)</f>
        <v>0</v>
      </c>
      <c r="N200" s="118"/>
    </row>
    <row r="201" spans="3:16" x14ac:dyDescent="0.3">
      <c r="D201" s="138" t="s">
        <v>646</v>
      </c>
      <c r="E201" s="137" t="s">
        <v>4</v>
      </c>
      <c r="F201" s="136">
        <v>18.04</v>
      </c>
      <c r="G201" s="69"/>
      <c r="H201" s="69"/>
      <c r="I201" s="119">
        <v>0</v>
      </c>
      <c r="J201" s="379">
        <f t="shared" si="49"/>
        <v>0</v>
      </c>
      <c r="K201" s="118">
        <f t="shared" si="50"/>
        <v>18.04</v>
      </c>
      <c r="L201" s="118">
        <f t="shared" si="51"/>
        <v>0</v>
      </c>
      <c r="M201" s="118">
        <f t="shared" si="52"/>
        <v>0</v>
      </c>
      <c r="N201" s="118"/>
    </row>
    <row r="202" spans="3:16" x14ac:dyDescent="0.3">
      <c r="D202" s="138" t="s">
        <v>645</v>
      </c>
      <c r="E202" s="137" t="s">
        <v>4</v>
      </c>
      <c r="F202" s="136">
        <v>2.4</v>
      </c>
      <c r="G202" s="69"/>
      <c r="H202" s="69"/>
      <c r="I202" s="119">
        <v>0</v>
      </c>
      <c r="J202" s="379">
        <f t="shared" si="49"/>
        <v>0</v>
      </c>
      <c r="K202" s="118">
        <f t="shared" si="50"/>
        <v>2.4</v>
      </c>
      <c r="L202" s="118">
        <f t="shared" si="51"/>
        <v>0</v>
      </c>
      <c r="M202" s="118">
        <f t="shared" si="52"/>
        <v>0</v>
      </c>
      <c r="N202" s="118"/>
    </row>
    <row r="203" spans="3:16" x14ac:dyDescent="0.3">
      <c r="D203" s="138" t="s">
        <v>644</v>
      </c>
      <c r="E203" s="137" t="s">
        <v>4</v>
      </c>
      <c r="F203" s="136">
        <v>143.4</v>
      </c>
      <c r="G203" s="69"/>
      <c r="H203" s="69"/>
      <c r="I203" s="119">
        <v>1</v>
      </c>
      <c r="J203" s="379">
        <f t="shared" si="49"/>
        <v>1</v>
      </c>
      <c r="K203" s="118">
        <f t="shared" si="50"/>
        <v>0</v>
      </c>
      <c r="L203" s="118">
        <f t="shared" si="51"/>
        <v>0</v>
      </c>
      <c r="M203" s="118">
        <f t="shared" si="52"/>
        <v>143.4</v>
      </c>
      <c r="N203" s="118"/>
    </row>
    <row r="204" spans="3:16" x14ac:dyDescent="0.3">
      <c r="D204" s="138" t="s">
        <v>643</v>
      </c>
      <c r="E204" s="137" t="s">
        <v>4</v>
      </c>
      <c r="F204" s="136">
        <v>24.4</v>
      </c>
      <c r="G204" s="69"/>
      <c r="H204" s="69"/>
      <c r="I204" s="119" t="s">
        <v>27</v>
      </c>
      <c r="J204" s="379">
        <f t="shared" si="49"/>
        <v>1</v>
      </c>
      <c r="K204" s="118">
        <f t="shared" si="50"/>
        <v>0</v>
      </c>
      <c r="L204" s="118">
        <f t="shared" si="51"/>
        <v>0</v>
      </c>
      <c r="M204" s="118">
        <f t="shared" si="52"/>
        <v>24.4</v>
      </c>
      <c r="N204" s="118"/>
    </row>
    <row r="205" spans="3:16" x14ac:dyDescent="0.3">
      <c r="D205" s="138" t="s">
        <v>642</v>
      </c>
      <c r="E205" s="137" t="s">
        <v>4</v>
      </c>
      <c r="F205" s="136">
        <v>63.4</v>
      </c>
      <c r="G205" s="69"/>
      <c r="H205" s="69"/>
      <c r="I205" s="119" t="s">
        <v>27</v>
      </c>
      <c r="J205" s="379">
        <f t="shared" si="49"/>
        <v>1</v>
      </c>
      <c r="K205" s="118">
        <f t="shared" si="50"/>
        <v>0</v>
      </c>
      <c r="L205" s="118">
        <f t="shared" si="51"/>
        <v>0</v>
      </c>
      <c r="M205" s="118">
        <f t="shared" si="52"/>
        <v>63.4</v>
      </c>
      <c r="N205" s="118"/>
    </row>
    <row r="206" spans="3:16" x14ac:dyDescent="0.3">
      <c r="D206" s="141" t="s">
        <v>641</v>
      </c>
      <c r="E206" s="137" t="s">
        <v>4</v>
      </c>
      <c r="F206" s="139">
        <f>SUM(F207:F209)</f>
        <v>282.18</v>
      </c>
      <c r="G206" s="169"/>
      <c r="H206" s="169"/>
      <c r="I206" s="170"/>
      <c r="J206" s="379"/>
      <c r="K206" s="139">
        <f>SUM(K207:K209)</f>
        <v>282.18</v>
      </c>
      <c r="L206" s="139">
        <f>SUM(L207:L209)</f>
        <v>0</v>
      </c>
      <c r="M206" s="139">
        <f>SUM(M207:M209)</f>
        <v>0</v>
      </c>
      <c r="N206" s="139"/>
    </row>
    <row r="207" spans="3:16" x14ac:dyDescent="0.3">
      <c r="D207" s="138" t="s">
        <v>640</v>
      </c>
      <c r="E207" s="137" t="s">
        <v>4</v>
      </c>
      <c r="F207" s="136">
        <v>4.9400000000000004</v>
      </c>
      <c r="G207" s="69"/>
      <c r="H207" s="69"/>
      <c r="I207" s="119">
        <v>0</v>
      </c>
      <c r="J207" s="379">
        <f t="shared" si="49"/>
        <v>0</v>
      </c>
      <c r="K207" s="118">
        <f>F207-L207-M207</f>
        <v>4.9400000000000004</v>
      </c>
      <c r="L207" s="118">
        <f>H207*$F207</f>
        <v>0</v>
      </c>
      <c r="M207" s="118">
        <f>IF(ISNUMBER(I207),I207*F207,F207)</f>
        <v>0</v>
      </c>
      <c r="N207" s="118"/>
    </row>
    <row r="208" spans="3:16" x14ac:dyDescent="0.3">
      <c r="D208" s="138" t="s">
        <v>639</v>
      </c>
      <c r="E208" s="137" t="s">
        <v>4</v>
      </c>
      <c r="F208" s="136">
        <v>1.7</v>
      </c>
      <c r="G208" s="69"/>
      <c r="H208" s="69"/>
      <c r="I208" s="119">
        <v>0</v>
      </c>
      <c r="J208" s="379">
        <f t="shared" si="49"/>
        <v>0</v>
      </c>
      <c r="K208" s="118">
        <f>F208-L208-M208</f>
        <v>1.7</v>
      </c>
      <c r="L208" s="118">
        <f>H208*$F208</f>
        <v>0</v>
      </c>
      <c r="M208" s="118">
        <f>IF(ISNUMBER(I208),I208*F208,F208)</f>
        <v>0</v>
      </c>
      <c r="N208" s="118"/>
    </row>
    <row r="209" spans="4:16" x14ac:dyDescent="0.3">
      <c r="D209" s="138" t="s">
        <v>638</v>
      </c>
      <c r="E209" s="137" t="s">
        <v>4</v>
      </c>
      <c r="F209" s="136">
        <v>275.54000000000002</v>
      </c>
      <c r="G209" s="69"/>
      <c r="H209" s="69"/>
      <c r="I209" s="119">
        <v>0</v>
      </c>
      <c r="J209" s="379">
        <f t="shared" si="49"/>
        <v>0</v>
      </c>
      <c r="K209" s="118">
        <f>F209-L209-M209</f>
        <v>275.54000000000002</v>
      </c>
      <c r="L209" s="118">
        <f>H209*$F209</f>
        <v>0</v>
      </c>
      <c r="M209" s="118">
        <f>IF(ISNUMBER(I209),I209*F209,F209)</f>
        <v>0</v>
      </c>
      <c r="N209" s="118"/>
    </row>
    <row r="210" spans="4:16" x14ac:dyDescent="0.3">
      <c r="D210" s="141" t="s">
        <v>637</v>
      </c>
      <c r="E210" s="137" t="s">
        <v>4</v>
      </c>
      <c r="F210" s="139">
        <f>SUM(F211:F217)</f>
        <v>123.18</v>
      </c>
      <c r="G210" s="169"/>
      <c r="H210" s="169"/>
      <c r="I210" s="170"/>
      <c r="J210" s="379"/>
      <c r="K210" s="139">
        <f>SUM(K211:K217)</f>
        <v>30.443308825903891</v>
      </c>
      <c r="L210" s="139">
        <f>SUM(L211:L217)</f>
        <v>6.4192626535578592</v>
      </c>
      <c r="M210" s="139">
        <f>SUM(M211:M217)</f>
        <v>86.317428520538243</v>
      </c>
      <c r="N210" s="139"/>
    </row>
    <row r="211" spans="4:16" x14ac:dyDescent="0.3">
      <c r="D211" s="138" t="s">
        <v>636</v>
      </c>
      <c r="E211" s="137" t="s">
        <v>4</v>
      </c>
      <c r="F211" s="136">
        <v>5.3</v>
      </c>
      <c r="G211" s="69"/>
      <c r="H211" s="69"/>
      <c r="I211" s="119">
        <v>0</v>
      </c>
      <c r="J211" s="379">
        <f t="shared" si="49"/>
        <v>0</v>
      </c>
      <c r="K211" s="118">
        <f t="shared" ref="K211:K217" si="53">F211-L211-M211</f>
        <v>5.3</v>
      </c>
      <c r="L211" s="118">
        <f t="shared" ref="L211:L217" si="54">H211*$F211</f>
        <v>0</v>
      </c>
      <c r="M211" s="118">
        <f t="shared" ref="M211:M217" si="55">IF(ISNUMBER(I211),I211*F211,F211)</f>
        <v>0</v>
      </c>
      <c r="N211" s="118"/>
    </row>
    <row r="212" spans="4:16" x14ac:dyDescent="0.3">
      <c r="D212" s="138" t="s">
        <v>635</v>
      </c>
      <c r="E212" s="137" t="s">
        <v>4</v>
      </c>
      <c r="F212" s="136">
        <v>1.2</v>
      </c>
      <c r="G212" s="69"/>
      <c r="H212" s="69"/>
      <c r="I212" s="119">
        <v>0</v>
      </c>
      <c r="J212" s="379">
        <f t="shared" si="49"/>
        <v>0</v>
      </c>
      <c r="K212" s="118">
        <f t="shared" si="53"/>
        <v>1.2</v>
      </c>
      <c r="L212" s="118">
        <f t="shared" si="54"/>
        <v>0</v>
      </c>
      <c r="M212" s="118">
        <f t="shared" si="55"/>
        <v>0</v>
      </c>
      <c r="N212" s="118"/>
    </row>
    <row r="213" spans="4:16" x14ac:dyDescent="0.3">
      <c r="D213" s="138" t="s">
        <v>634</v>
      </c>
      <c r="E213" s="137" t="s">
        <v>4</v>
      </c>
      <c r="F213" s="136">
        <v>2.5</v>
      </c>
      <c r="G213" s="69"/>
      <c r="H213" s="69"/>
      <c r="I213" s="119">
        <v>0</v>
      </c>
      <c r="J213" s="379">
        <f t="shared" si="49"/>
        <v>0</v>
      </c>
      <c r="K213" s="118">
        <f t="shared" si="53"/>
        <v>2.5</v>
      </c>
      <c r="L213" s="118">
        <f t="shared" si="54"/>
        <v>0</v>
      </c>
      <c r="M213" s="118">
        <f t="shared" si="55"/>
        <v>0</v>
      </c>
      <c r="N213" s="118"/>
    </row>
    <row r="214" spans="4:16" x14ac:dyDescent="0.3">
      <c r="D214" s="138" t="s">
        <v>633</v>
      </c>
      <c r="E214" s="137" t="s">
        <v>4</v>
      </c>
      <c r="F214" s="136">
        <v>1.5</v>
      </c>
      <c r="G214" s="69"/>
      <c r="H214" s="69"/>
      <c r="I214" s="119">
        <v>0</v>
      </c>
      <c r="J214" s="379">
        <f t="shared" si="49"/>
        <v>0</v>
      </c>
      <c r="K214" s="118">
        <f t="shared" si="53"/>
        <v>1.5</v>
      </c>
      <c r="L214" s="118">
        <f t="shared" si="54"/>
        <v>0</v>
      </c>
      <c r="M214" s="118">
        <f t="shared" si="55"/>
        <v>0</v>
      </c>
      <c r="N214" s="118"/>
    </row>
    <row r="215" spans="4:16" x14ac:dyDescent="0.3">
      <c r="D215" s="138" t="s">
        <v>632</v>
      </c>
      <c r="E215" s="137" t="s">
        <v>4</v>
      </c>
      <c r="F215" s="136">
        <v>7.04</v>
      </c>
      <c r="G215" s="69">
        <v>0.2102</v>
      </c>
      <c r="H215" s="69">
        <v>5.3800000000000001E-2</v>
      </c>
      <c r="I215" s="119">
        <f>1-G215-H215</f>
        <v>0.7360000000000001</v>
      </c>
      <c r="J215" s="379">
        <f t="shared" si="49"/>
        <v>1</v>
      </c>
      <c r="K215" s="118">
        <f t="shared" si="53"/>
        <v>1.4798079999999985</v>
      </c>
      <c r="L215" s="118">
        <f t="shared" si="54"/>
        <v>0.37875200000000003</v>
      </c>
      <c r="M215" s="118">
        <f t="shared" si="55"/>
        <v>5.1814400000000012</v>
      </c>
      <c r="N215" s="118"/>
      <c r="P215" s="87" t="s">
        <v>631</v>
      </c>
    </row>
    <row r="216" spans="4:16" x14ac:dyDescent="0.3">
      <c r="D216" s="138" t="s">
        <v>630</v>
      </c>
      <c r="E216" s="137" t="s">
        <v>4</v>
      </c>
      <c r="F216" s="136">
        <v>5.64</v>
      </c>
      <c r="G216" s="69"/>
      <c r="H216" s="69"/>
      <c r="I216" s="119">
        <v>0</v>
      </c>
      <c r="J216" s="379">
        <f t="shared" si="49"/>
        <v>0</v>
      </c>
      <c r="K216" s="118">
        <f t="shared" si="53"/>
        <v>5.64</v>
      </c>
      <c r="L216" s="118">
        <f t="shared" si="54"/>
        <v>0</v>
      </c>
      <c r="M216" s="118">
        <f t="shared" si="55"/>
        <v>0</v>
      </c>
      <c r="N216" s="118"/>
    </row>
    <row r="217" spans="4:16" x14ac:dyDescent="0.3">
      <c r="D217" s="138" t="s">
        <v>629</v>
      </c>
      <c r="E217" s="137" t="s">
        <v>4</v>
      </c>
      <c r="F217" s="136">
        <v>100</v>
      </c>
      <c r="G217" s="69">
        <f>K7/$F7</f>
        <v>0.12806782454253493</v>
      </c>
      <c r="H217" s="69">
        <f>L7/$F7</f>
        <v>6.0405106535578589E-2</v>
      </c>
      <c r="I217" s="119">
        <f>M7/$F7</f>
        <v>0.81135988520538249</v>
      </c>
      <c r="J217" s="379">
        <f t="shared" si="49"/>
        <v>1</v>
      </c>
      <c r="K217" s="118">
        <f t="shared" si="53"/>
        <v>12.823500825903892</v>
      </c>
      <c r="L217" s="118">
        <f t="shared" si="54"/>
        <v>6.0405106535578588</v>
      </c>
      <c r="M217" s="118">
        <f t="shared" si="55"/>
        <v>81.135988520538248</v>
      </c>
      <c r="N217" s="118"/>
      <c r="P217" s="87" t="s">
        <v>628</v>
      </c>
    </row>
    <row r="218" spans="4:16" x14ac:dyDescent="0.3">
      <c r="D218" s="141" t="s">
        <v>627</v>
      </c>
      <c r="E218" s="137" t="s">
        <v>4</v>
      </c>
      <c r="F218" s="139">
        <f>SUM(F219:F228)</f>
        <v>526.48</v>
      </c>
      <c r="G218" s="169"/>
      <c r="H218" s="169"/>
      <c r="I218" s="170"/>
      <c r="J218" s="379"/>
      <c r="K218" s="139">
        <f>SUM(K219:K228)</f>
        <v>526.48</v>
      </c>
      <c r="L218" s="139">
        <f>SUM(L219:L228)</f>
        <v>0</v>
      </c>
      <c r="M218" s="139">
        <f>SUM(M219:M228)</f>
        <v>0</v>
      </c>
      <c r="N218" s="139"/>
    </row>
    <row r="219" spans="4:16" x14ac:dyDescent="0.3">
      <c r="D219" s="138" t="s">
        <v>626</v>
      </c>
      <c r="E219" s="137" t="s">
        <v>4</v>
      </c>
      <c r="F219" s="136">
        <v>1.3</v>
      </c>
      <c r="G219" s="69"/>
      <c r="H219" s="69"/>
      <c r="I219" s="119">
        <v>0</v>
      </c>
      <c r="J219" s="379">
        <f t="shared" si="49"/>
        <v>0</v>
      </c>
      <c r="K219" s="118">
        <f t="shared" ref="K219:K228" si="56">F219-L219-M219</f>
        <v>1.3</v>
      </c>
      <c r="L219" s="118">
        <f t="shared" ref="L219:L228" si="57">H219*$F219</f>
        <v>0</v>
      </c>
      <c r="M219" s="118">
        <f t="shared" ref="M219:M228" si="58">IF(ISNUMBER(I219),I219*F219,F219)</f>
        <v>0</v>
      </c>
      <c r="N219" s="118"/>
    </row>
    <row r="220" spans="4:16" x14ac:dyDescent="0.3">
      <c r="D220" s="138" t="s">
        <v>625</v>
      </c>
      <c r="E220" s="137" t="s">
        <v>4</v>
      </c>
      <c r="F220" s="136">
        <v>3.7</v>
      </c>
      <c r="G220" s="69"/>
      <c r="H220" s="69"/>
      <c r="I220" s="119">
        <v>0</v>
      </c>
      <c r="J220" s="379">
        <f t="shared" si="49"/>
        <v>0</v>
      </c>
      <c r="K220" s="118">
        <f t="shared" si="56"/>
        <v>3.7</v>
      </c>
      <c r="L220" s="118">
        <f t="shared" si="57"/>
        <v>0</v>
      </c>
      <c r="M220" s="118">
        <f t="shared" si="58"/>
        <v>0</v>
      </c>
      <c r="N220" s="118"/>
    </row>
    <row r="221" spans="4:16" x14ac:dyDescent="0.3">
      <c r="D221" s="138" t="s">
        <v>624</v>
      </c>
      <c r="E221" s="137" t="s">
        <v>4</v>
      </c>
      <c r="F221" s="136">
        <v>4.5</v>
      </c>
      <c r="G221" s="69"/>
      <c r="H221" s="69"/>
      <c r="I221" s="119">
        <v>0</v>
      </c>
      <c r="J221" s="379">
        <f t="shared" si="49"/>
        <v>0</v>
      </c>
      <c r="K221" s="118">
        <f t="shared" si="56"/>
        <v>4.5</v>
      </c>
      <c r="L221" s="118">
        <f t="shared" si="57"/>
        <v>0</v>
      </c>
      <c r="M221" s="118">
        <f t="shared" si="58"/>
        <v>0</v>
      </c>
      <c r="N221" s="118"/>
    </row>
    <row r="222" spans="4:16" x14ac:dyDescent="0.3">
      <c r="D222" s="138" t="s">
        <v>623</v>
      </c>
      <c r="E222" s="137" t="s">
        <v>4</v>
      </c>
      <c r="F222" s="136">
        <v>2.1</v>
      </c>
      <c r="G222" s="69"/>
      <c r="H222" s="69"/>
      <c r="I222" s="119">
        <v>0</v>
      </c>
      <c r="J222" s="379">
        <f t="shared" si="49"/>
        <v>0</v>
      </c>
      <c r="K222" s="118">
        <f t="shared" si="56"/>
        <v>2.1</v>
      </c>
      <c r="L222" s="118">
        <f t="shared" si="57"/>
        <v>0</v>
      </c>
      <c r="M222" s="118">
        <f t="shared" si="58"/>
        <v>0</v>
      </c>
      <c r="N222" s="118"/>
    </row>
    <row r="223" spans="4:16" x14ac:dyDescent="0.3">
      <c r="D223" s="138" t="s">
        <v>622</v>
      </c>
      <c r="E223" s="137" t="s">
        <v>4</v>
      </c>
      <c r="F223" s="136">
        <v>384.54</v>
      </c>
      <c r="G223" s="69"/>
      <c r="H223" s="69"/>
      <c r="I223" s="119">
        <v>0</v>
      </c>
      <c r="J223" s="379">
        <f t="shared" si="49"/>
        <v>0</v>
      </c>
      <c r="K223" s="118">
        <f t="shared" si="56"/>
        <v>384.54</v>
      </c>
      <c r="L223" s="118">
        <f t="shared" si="57"/>
        <v>0</v>
      </c>
      <c r="M223" s="118">
        <f t="shared" si="58"/>
        <v>0</v>
      </c>
      <c r="N223" s="118"/>
    </row>
    <row r="224" spans="4:16" x14ac:dyDescent="0.3">
      <c r="D224" s="138" t="s">
        <v>621</v>
      </c>
      <c r="E224" s="137" t="s">
        <v>4</v>
      </c>
      <c r="F224" s="136">
        <v>93.44</v>
      </c>
      <c r="G224" s="69"/>
      <c r="H224" s="69"/>
      <c r="I224" s="119">
        <v>0</v>
      </c>
      <c r="J224" s="379">
        <f t="shared" si="49"/>
        <v>0</v>
      </c>
      <c r="K224" s="118">
        <f t="shared" si="56"/>
        <v>93.44</v>
      </c>
      <c r="L224" s="118">
        <f t="shared" si="57"/>
        <v>0</v>
      </c>
      <c r="M224" s="118">
        <f t="shared" si="58"/>
        <v>0</v>
      </c>
      <c r="N224" s="118"/>
    </row>
    <row r="225" spans="3:14" x14ac:dyDescent="0.3">
      <c r="D225" s="138" t="s">
        <v>620</v>
      </c>
      <c r="E225" s="137" t="s">
        <v>4</v>
      </c>
      <c r="F225" s="136">
        <v>6.6</v>
      </c>
      <c r="G225" s="69"/>
      <c r="H225" s="69"/>
      <c r="I225" s="119">
        <v>0</v>
      </c>
      <c r="J225" s="379">
        <f t="shared" si="49"/>
        <v>0</v>
      </c>
      <c r="K225" s="118">
        <f t="shared" si="56"/>
        <v>6.6</v>
      </c>
      <c r="L225" s="118">
        <f t="shared" si="57"/>
        <v>0</v>
      </c>
      <c r="M225" s="118">
        <f t="shared" si="58"/>
        <v>0</v>
      </c>
      <c r="N225" s="118"/>
    </row>
    <row r="226" spans="3:14" x14ac:dyDescent="0.3">
      <c r="D226" s="138" t="s">
        <v>619</v>
      </c>
      <c r="E226" s="137" t="s">
        <v>4</v>
      </c>
      <c r="F226" s="136">
        <v>14.4</v>
      </c>
      <c r="G226" s="69"/>
      <c r="H226" s="69"/>
      <c r="I226" s="119">
        <v>0</v>
      </c>
      <c r="J226" s="379">
        <f t="shared" si="49"/>
        <v>0</v>
      </c>
      <c r="K226" s="118">
        <f t="shared" si="56"/>
        <v>14.4</v>
      </c>
      <c r="L226" s="118">
        <f t="shared" si="57"/>
        <v>0</v>
      </c>
      <c r="M226" s="118">
        <f t="shared" si="58"/>
        <v>0</v>
      </c>
      <c r="N226" s="118"/>
    </row>
    <row r="227" spans="3:14" x14ac:dyDescent="0.3">
      <c r="D227" s="138" t="s">
        <v>618</v>
      </c>
      <c r="E227" s="137" t="s">
        <v>4</v>
      </c>
      <c r="F227" s="136">
        <v>1.4</v>
      </c>
      <c r="G227" s="69"/>
      <c r="H227" s="69"/>
      <c r="I227" s="119">
        <v>0</v>
      </c>
      <c r="J227" s="379">
        <f t="shared" si="49"/>
        <v>0</v>
      </c>
      <c r="K227" s="118">
        <f t="shared" si="56"/>
        <v>1.4</v>
      </c>
      <c r="L227" s="118">
        <f t="shared" si="57"/>
        <v>0</v>
      </c>
      <c r="M227" s="118">
        <f t="shared" si="58"/>
        <v>0</v>
      </c>
      <c r="N227" s="118"/>
    </row>
    <row r="228" spans="3:14" x14ac:dyDescent="0.3">
      <c r="D228" s="138" t="s">
        <v>617</v>
      </c>
      <c r="E228" s="137" t="s">
        <v>4</v>
      </c>
      <c r="F228" s="136">
        <v>14.5</v>
      </c>
      <c r="G228" s="69"/>
      <c r="H228" s="69"/>
      <c r="I228" s="119">
        <v>0</v>
      </c>
      <c r="J228" s="379">
        <f t="shared" si="49"/>
        <v>0</v>
      </c>
      <c r="K228" s="118">
        <f t="shared" si="56"/>
        <v>14.5</v>
      </c>
      <c r="L228" s="118">
        <f t="shared" si="57"/>
        <v>0</v>
      </c>
      <c r="M228" s="118">
        <f t="shared" si="58"/>
        <v>0</v>
      </c>
      <c r="N228" s="118"/>
    </row>
    <row r="229" spans="3:14" x14ac:dyDescent="0.3">
      <c r="D229" s="141" t="s">
        <v>616</v>
      </c>
      <c r="E229" s="137" t="s">
        <v>4</v>
      </c>
      <c r="F229" s="139">
        <f>SUM(F230:F231)</f>
        <v>155.4</v>
      </c>
      <c r="G229" s="169"/>
      <c r="H229" s="169"/>
      <c r="I229" s="170"/>
      <c r="J229" s="379"/>
      <c r="K229" s="139">
        <f>SUM(K230:K231)</f>
        <v>155.4</v>
      </c>
      <c r="L229" s="139">
        <f>SUM(L230:L231)</f>
        <v>0</v>
      </c>
      <c r="M229" s="139">
        <f>SUM(M230:M231)</f>
        <v>0</v>
      </c>
      <c r="N229" s="139"/>
    </row>
    <row r="230" spans="3:14" x14ac:dyDescent="0.3">
      <c r="D230" s="138" t="s">
        <v>615</v>
      </c>
      <c r="E230" s="137" t="s">
        <v>4</v>
      </c>
      <c r="F230" s="136">
        <v>0.4</v>
      </c>
      <c r="G230" s="69"/>
      <c r="H230" s="69"/>
      <c r="I230" s="119">
        <v>0</v>
      </c>
      <c r="J230" s="379">
        <f t="shared" si="49"/>
        <v>0</v>
      </c>
      <c r="K230" s="118">
        <f>F230-L230-M230</f>
        <v>0.4</v>
      </c>
      <c r="L230" s="118">
        <f>H230*$F230</f>
        <v>0</v>
      </c>
      <c r="M230" s="118">
        <f>IF(ISNUMBER(I230),I230*F230,F230)</f>
        <v>0</v>
      </c>
      <c r="N230" s="118"/>
    </row>
    <row r="231" spans="3:14" x14ac:dyDescent="0.3">
      <c r="D231" s="138" t="s">
        <v>614</v>
      </c>
      <c r="E231" s="137" t="s">
        <v>4</v>
      </c>
      <c r="F231" s="136">
        <v>155</v>
      </c>
      <c r="G231" s="69"/>
      <c r="H231" s="69"/>
      <c r="I231" s="119">
        <v>0</v>
      </c>
      <c r="J231" s="379">
        <f t="shared" si="49"/>
        <v>0</v>
      </c>
      <c r="K231" s="118">
        <f>F231-L231-M231</f>
        <v>155</v>
      </c>
      <c r="L231" s="118">
        <f>H231*$F231</f>
        <v>0</v>
      </c>
      <c r="M231" s="118">
        <f>IF(ISNUMBER(I231),I231*F231,F231)</f>
        <v>0</v>
      </c>
      <c r="N231" s="118"/>
    </row>
    <row r="232" spans="3:14" x14ac:dyDescent="0.3">
      <c r="D232" s="141" t="s">
        <v>613</v>
      </c>
      <c r="E232" s="137" t="s">
        <v>4</v>
      </c>
      <c r="F232" s="139">
        <v>477.8</v>
      </c>
      <c r="G232" s="69"/>
      <c r="H232" s="69"/>
      <c r="I232" s="119">
        <v>0</v>
      </c>
      <c r="J232" s="379">
        <f t="shared" si="49"/>
        <v>0</v>
      </c>
      <c r="K232" s="133">
        <f>F232-L232-M232</f>
        <v>477.8</v>
      </c>
      <c r="L232" s="133">
        <f>H232*$F232</f>
        <v>0</v>
      </c>
      <c r="M232" s="133">
        <f>IF(ISNUMBER(I232),I232*F232,F232)</f>
        <v>0</v>
      </c>
      <c r="N232" s="133"/>
    </row>
    <row r="233" spans="3:14" x14ac:dyDescent="0.3">
      <c r="D233" s="141" t="s">
        <v>612</v>
      </c>
      <c r="E233" s="137" t="s">
        <v>4</v>
      </c>
      <c r="F233" s="139">
        <f>SUM(F234:F237)</f>
        <v>235</v>
      </c>
      <c r="G233" s="169"/>
      <c r="H233" s="169"/>
      <c r="I233" s="170"/>
      <c r="J233" s="379"/>
      <c r="K233" s="139">
        <f>SUM(K234:K237)</f>
        <v>235</v>
      </c>
      <c r="L233" s="139">
        <f>SUM(L234:L237)</f>
        <v>0</v>
      </c>
      <c r="M233" s="139">
        <f>SUM(M234:M237)</f>
        <v>0</v>
      </c>
      <c r="N233" s="139"/>
    </row>
    <row r="234" spans="3:14" x14ac:dyDescent="0.3">
      <c r="D234" s="138" t="s">
        <v>611</v>
      </c>
      <c r="E234" s="137" t="s">
        <v>4</v>
      </c>
      <c r="F234" s="136">
        <v>45</v>
      </c>
      <c r="G234" s="69"/>
      <c r="H234" s="69"/>
      <c r="I234" s="119">
        <v>0</v>
      </c>
      <c r="J234" s="379">
        <f t="shared" si="49"/>
        <v>0</v>
      </c>
      <c r="K234" s="118">
        <f t="shared" ref="K234:K241" si="59">F234-L234-M234</f>
        <v>45</v>
      </c>
      <c r="L234" s="118">
        <f t="shared" ref="L234:L241" si="60">H234*$F234</f>
        <v>0</v>
      </c>
      <c r="M234" s="118">
        <f t="shared" ref="M234:M241" si="61">IF(ISNUMBER(I234),I234*F234,F234)</f>
        <v>0</v>
      </c>
      <c r="N234" s="118"/>
    </row>
    <row r="235" spans="3:14" x14ac:dyDescent="0.3">
      <c r="D235" s="138" t="s">
        <v>610</v>
      </c>
      <c r="E235" s="137" t="s">
        <v>4</v>
      </c>
      <c r="F235" s="136">
        <v>0</v>
      </c>
      <c r="G235" s="69"/>
      <c r="H235" s="69"/>
      <c r="I235" s="119">
        <v>0</v>
      </c>
      <c r="J235" s="379">
        <f t="shared" si="49"/>
        <v>0</v>
      </c>
      <c r="K235" s="118">
        <f t="shared" si="59"/>
        <v>0</v>
      </c>
      <c r="L235" s="118">
        <f t="shared" si="60"/>
        <v>0</v>
      </c>
      <c r="M235" s="118">
        <f t="shared" si="61"/>
        <v>0</v>
      </c>
      <c r="N235" s="118"/>
    </row>
    <row r="236" spans="3:14" x14ac:dyDescent="0.3">
      <c r="D236" s="138" t="s">
        <v>609</v>
      </c>
      <c r="E236" s="137" t="s">
        <v>4</v>
      </c>
      <c r="F236" s="136">
        <v>25</v>
      </c>
      <c r="G236" s="69"/>
      <c r="H236" s="69"/>
      <c r="I236" s="119">
        <v>0</v>
      </c>
      <c r="J236" s="379">
        <f t="shared" si="49"/>
        <v>0</v>
      </c>
      <c r="K236" s="118">
        <f t="shared" si="59"/>
        <v>25</v>
      </c>
      <c r="L236" s="118">
        <f t="shared" si="60"/>
        <v>0</v>
      </c>
      <c r="M236" s="118">
        <f t="shared" si="61"/>
        <v>0</v>
      </c>
      <c r="N236" s="118"/>
    </row>
    <row r="237" spans="3:14" x14ac:dyDescent="0.3">
      <c r="D237" s="138" t="s">
        <v>608</v>
      </c>
      <c r="E237" s="137" t="s">
        <v>4</v>
      </c>
      <c r="F237" s="136">
        <v>165</v>
      </c>
      <c r="G237" s="69"/>
      <c r="H237" s="69"/>
      <c r="I237" s="119">
        <v>0</v>
      </c>
      <c r="J237" s="379">
        <f t="shared" si="49"/>
        <v>0</v>
      </c>
      <c r="K237" s="118">
        <f t="shared" si="59"/>
        <v>165</v>
      </c>
      <c r="L237" s="118">
        <f t="shared" si="60"/>
        <v>0</v>
      </c>
      <c r="M237" s="118">
        <f t="shared" si="61"/>
        <v>0</v>
      </c>
      <c r="N237" s="118"/>
    </row>
    <row r="238" spans="3:14" x14ac:dyDescent="0.3">
      <c r="C238" s="87" t="s">
        <v>1</v>
      </c>
      <c r="D238" s="73" t="s">
        <v>607</v>
      </c>
      <c r="E238" s="73" t="s">
        <v>4</v>
      </c>
      <c r="F238" s="84">
        <v>904.7</v>
      </c>
      <c r="G238" s="174"/>
      <c r="H238" s="174"/>
      <c r="I238" s="175">
        <v>0</v>
      </c>
      <c r="J238" s="420">
        <f t="shared" si="49"/>
        <v>0</v>
      </c>
      <c r="K238" s="176">
        <f t="shared" si="59"/>
        <v>904.7</v>
      </c>
      <c r="L238" s="176">
        <f t="shared" si="60"/>
        <v>0</v>
      </c>
      <c r="M238" s="176">
        <f t="shared" si="61"/>
        <v>0</v>
      </c>
      <c r="N238" s="135"/>
    </row>
    <row r="239" spans="3:14" x14ac:dyDescent="0.3">
      <c r="D239" s="73" t="s">
        <v>606</v>
      </c>
      <c r="E239" s="73" t="s">
        <v>4</v>
      </c>
      <c r="F239" s="84">
        <v>443</v>
      </c>
      <c r="G239" s="174"/>
      <c r="H239" s="174"/>
      <c r="I239" s="175">
        <v>0</v>
      </c>
      <c r="J239" s="420">
        <f t="shared" si="49"/>
        <v>0</v>
      </c>
      <c r="K239" s="176">
        <f t="shared" si="59"/>
        <v>443</v>
      </c>
      <c r="L239" s="176">
        <f t="shared" si="60"/>
        <v>0</v>
      </c>
      <c r="M239" s="176">
        <f t="shared" si="61"/>
        <v>0</v>
      </c>
      <c r="N239" s="135"/>
    </row>
    <row r="240" spans="3:14" x14ac:dyDescent="0.3">
      <c r="D240" s="73" t="s">
        <v>605</v>
      </c>
      <c r="E240" s="73" t="s">
        <v>4</v>
      </c>
      <c r="F240" s="84">
        <v>1695.7</v>
      </c>
      <c r="G240" s="174"/>
      <c r="H240" s="174"/>
      <c r="I240" s="175">
        <v>0</v>
      </c>
      <c r="J240" s="420">
        <f t="shared" si="49"/>
        <v>0</v>
      </c>
      <c r="K240" s="176">
        <f t="shared" si="59"/>
        <v>1695.7</v>
      </c>
      <c r="L240" s="176">
        <f t="shared" si="60"/>
        <v>0</v>
      </c>
      <c r="M240" s="176">
        <f t="shared" si="61"/>
        <v>0</v>
      </c>
      <c r="N240" s="135"/>
    </row>
    <row r="241" spans="3:15" x14ac:dyDescent="0.3">
      <c r="D241" s="73" t="s">
        <v>604</v>
      </c>
      <c r="E241" s="73" t="s">
        <v>4</v>
      </c>
      <c r="F241" s="84">
        <v>697.4</v>
      </c>
      <c r="G241" s="174"/>
      <c r="H241" s="174"/>
      <c r="I241" s="175">
        <v>0</v>
      </c>
      <c r="J241" s="420">
        <f t="shared" si="49"/>
        <v>0</v>
      </c>
      <c r="K241" s="176">
        <f t="shared" si="59"/>
        <v>697.4</v>
      </c>
      <c r="L241" s="176">
        <f t="shared" si="60"/>
        <v>0</v>
      </c>
      <c r="M241" s="176">
        <f t="shared" si="61"/>
        <v>0</v>
      </c>
      <c r="N241" s="135"/>
    </row>
    <row r="242" spans="3:15" x14ac:dyDescent="0.3">
      <c r="D242" s="73" t="s">
        <v>987</v>
      </c>
      <c r="E242" s="73" t="s">
        <v>4</v>
      </c>
      <c r="F242" s="84">
        <v>67.855599999999995</v>
      </c>
      <c r="G242" s="174"/>
      <c r="H242" s="174"/>
      <c r="I242" s="175">
        <v>0</v>
      </c>
      <c r="J242" s="420">
        <f t="shared" ref="J242" si="62">+IF(I242&lt;&gt;0, 1,0)</f>
        <v>0</v>
      </c>
      <c r="K242" s="176">
        <f t="shared" ref="K242" si="63">F242-L242-M242</f>
        <v>67.855599999999995</v>
      </c>
      <c r="L242" s="176">
        <f t="shared" ref="L242" si="64">H242*$F242</f>
        <v>0</v>
      </c>
      <c r="M242" s="176">
        <f t="shared" ref="M242" si="65">IF(ISNUMBER(I242),I242*F242,F242)</f>
        <v>0</v>
      </c>
      <c r="N242" s="135"/>
    </row>
    <row r="243" spans="3:15" x14ac:dyDescent="0.3">
      <c r="C243" s="87" t="s">
        <v>1</v>
      </c>
      <c r="D243" s="73" t="s">
        <v>36</v>
      </c>
      <c r="E243" s="73" t="s">
        <v>4</v>
      </c>
      <c r="F243" s="84">
        <f>F244+F248+F265+F273+F277+F279</f>
        <v>2152</v>
      </c>
      <c r="G243" s="177"/>
      <c r="H243" s="177"/>
      <c r="I243" s="178"/>
      <c r="J243" s="420">
        <f t="shared" si="49"/>
        <v>0</v>
      </c>
      <c r="K243" s="179">
        <f>K244+K248+K265+K273+K277+K279</f>
        <v>833.95406316315598</v>
      </c>
      <c r="L243" s="179">
        <f>L244+L248+L265+L273+L277+L279</f>
        <v>80.982101877715394</v>
      </c>
      <c r="M243" s="179">
        <f>M244+M248+M265+M273+M277+M279</f>
        <v>1237.0638349591286</v>
      </c>
      <c r="N243" s="84"/>
      <c r="O243" s="359">
        <f>+M243/F243</f>
        <v>0.57484378947914894</v>
      </c>
    </row>
    <row r="244" spans="3:15" s="130" customFormat="1" x14ac:dyDescent="0.3">
      <c r="D244" s="131" t="s">
        <v>603</v>
      </c>
      <c r="E244" s="11" t="s">
        <v>36</v>
      </c>
      <c r="F244" s="128">
        <f>SUM(F245:F247)</f>
        <v>1139</v>
      </c>
      <c r="G244" s="134"/>
      <c r="H244" s="134"/>
      <c r="I244" s="133"/>
      <c r="J244" s="416"/>
      <c r="K244" s="128">
        <f>SUM(K245:K247)</f>
        <v>121.06825428600258</v>
      </c>
      <c r="L244" s="128">
        <f>SUM(L245:L247)</f>
        <v>53.661293878931126</v>
      </c>
      <c r="M244" s="128">
        <f>SUM(M245:M247)</f>
        <v>964.2704518350663</v>
      </c>
      <c r="N244" s="128"/>
      <c r="O244" s="359">
        <f>+M244/F244</f>
        <v>0.84659389976739796</v>
      </c>
    </row>
    <row r="245" spans="3:15" ht="31.5" outlineLevel="1" x14ac:dyDescent="0.3">
      <c r="D245" s="153" t="s">
        <v>602</v>
      </c>
      <c r="E245" s="331">
        <v>800229</v>
      </c>
      <c r="F245" s="377">
        <v>1135</v>
      </c>
      <c r="G245" s="69">
        <v>0.10638686668365786</v>
      </c>
      <c r="H245" s="69">
        <v>4.7154036800466717E-2</v>
      </c>
      <c r="I245" s="119">
        <f>1-G245-H245</f>
        <v>0.84645909651587548</v>
      </c>
      <c r="J245" s="379">
        <f t="shared" si="49"/>
        <v>1</v>
      </c>
      <c r="K245" s="118">
        <f>F245-L245-M245</f>
        <v>120.74909368595161</v>
      </c>
      <c r="L245" s="118">
        <f>H245*$F245</f>
        <v>53.519831768529727</v>
      </c>
      <c r="M245" s="118">
        <f>IF(ISNUMBER(I245),I245*F245,F245)</f>
        <v>960.73107454551871</v>
      </c>
      <c r="N245" s="118"/>
      <c r="O245" s="87" t="s">
        <v>601</v>
      </c>
    </row>
    <row r="246" spans="3:15" ht="31.5" outlineLevel="1" x14ac:dyDescent="0.3">
      <c r="D246" s="153" t="s">
        <v>600</v>
      </c>
      <c r="E246" s="331">
        <v>830204</v>
      </c>
      <c r="F246" s="377">
        <v>3</v>
      </c>
      <c r="G246" s="69">
        <v>0.10638686668365786</v>
      </c>
      <c r="H246" s="69">
        <v>4.7154036800466717E-2</v>
      </c>
      <c r="I246" s="119">
        <f>1-G246-H246</f>
        <v>0.84645909651587548</v>
      </c>
      <c r="J246" s="379">
        <f t="shared" si="49"/>
        <v>1</v>
      </c>
      <c r="K246" s="118">
        <f>F246-L246-M246</f>
        <v>0.31916060005097346</v>
      </c>
      <c r="L246" s="118">
        <f>H246*$F246</f>
        <v>0.14146211040140017</v>
      </c>
      <c r="M246" s="118">
        <f>IF(ISNUMBER(I246),I246*F246,F246)</f>
        <v>2.5393772895476263</v>
      </c>
      <c r="N246" s="118"/>
    </row>
    <row r="247" spans="3:15" ht="31.5" outlineLevel="1" x14ac:dyDescent="0.3">
      <c r="D247" s="153" t="s">
        <v>599</v>
      </c>
      <c r="E247" s="331">
        <v>830203</v>
      </c>
      <c r="F247" s="377">
        <v>1</v>
      </c>
      <c r="G247" s="69"/>
      <c r="H247" s="69"/>
      <c r="I247" s="119">
        <v>1</v>
      </c>
      <c r="J247" s="379">
        <f t="shared" si="49"/>
        <v>1</v>
      </c>
      <c r="K247" s="118">
        <f>F247-L247-M247</f>
        <v>0</v>
      </c>
      <c r="L247" s="118">
        <f>H247*$F247</f>
        <v>0</v>
      </c>
      <c r="M247" s="118">
        <f>IF(ISNUMBER(I247),I247*F247,F247)</f>
        <v>1</v>
      </c>
      <c r="N247" s="118"/>
    </row>
    <row r="248" spans="3:15" s="130" customFormat="1" x14ac:dyDescent="0.3">
      <c r="D248" s="131" t="s">
        <v>598</v>
      </c>
      <c r="E248" s="11" t="s">
        <v>36</v>
      </c>
      <c r="F248" s="133">
        <f>SUM(F249:F264)</f>
        <v>883</v>
      </c>
      <c r="G248" s="167"/>
      <c r="H248" s="167"/>
      <c r="I248" s="168"/>
      <c r="J248" s="417"/>
      <c r="K248" s="133">
        <f>SUM(K249:K264)</f>
        <v>695.29359999999997</v>
      </c>
      <c r="L248" s="133">
        <f>SUM(L249:L264)</f>
        <v>21.6584</v>
      </c>
      <c r="M248" s="133">
        <f>SUM(M249:M264)</f>
        <v>166.048</v>
      </c>
      <c r="N248" s="133"/>
      <c r="O248" s="359">
        <f>+M248/F248</f>
        <v>0.18804983012457532</v>
      </c>
    </row>
    <row r="249" spans="3:15" ht="47.25" hidden="1" outlineLevel="1" x14ac:dyDescent="0.3">
      <c r="D249" s="153" t="s">
        <v>597</v>
      </c>
      <c r="E249" s="127">
        <v>300101</v>
      </c>
      <c r="F249" s="126">
        <v>191</v>
      </c>
      <c r="G249" s="69"/>
      <c r="H249" s="69"/>
      <c r="I249" s="119">
        <v>0</v>
      </c>
      <c r="J249" s="379">
        <f t="shared" si="49"/>
        <v>0</v>
      </c>
      <c r="K249" s="118">
        <f>F249-L249-M249</f>
        <v>191</v>
      </c>
      <c r="L249" s="118">
        <f t="shared" ref="L249:L264" si="66">H249*$F249</f>
        <v>0</v>
      </c>
      <c r="M249" s="118">
        <f>IF(ISNUMBER(I249),I249*F249,F249)</f>
        <v>0</v>
      </c>
      <c r="N249" s="118"/>
    </row>
    <row r="250" spans="3:15" hidden="1" outlineLevel="1" x14ac:dyDescent="0.3">
      <c r="D250" s="153" t="s">
        <v>596</v>
      </c>
      <c r="E250" s="127">
        <v>170106</v>
      </c>
      <c r="F250" s="126">
        <v>169</v>
      </c>
      <c r="G250" s="69"/>
      <c r="H250" s="69"/>
      <c r="I250" s="119">
        <v>0</v>
      </c>
      <c r="J250" s="379">
        <f t="shared" si="49"/>
        <v>0</v>
      </c>
      <c r="K250" s="118">
        <f>F250-L250-M250</f>
        <v>169</v>
      </c>
      <c r="L250" s="118">
        <f t="shared" si="66"/>
        <v>0</v>
      </c>
      <c r="M250" s="118">
        <f>IF(ISNUMBER(I250),I250*F250,F250)</f>
        <v>0</v>
      </c>
      <c r="N250" s="118"/>
    </row>
    <row r="251" spans="3:15" hidden="1" outlineLevel="1" x14ac:dyDescent="0.3">
      <c r="D251" s="153" t="s">
        <v>595</v>
      </c>
      <c r="E251" s="127">
        <v>210316</v>
      </c>
      <c r="F251" s="126">
        <v>142</v>
      </c>
      <c r="G251" s="69"/>
      <c r="H251" s="69"/>
      <c r="I251" s="119">
        <v>0</v>
      </c>
      <c r="J251" s="379">
        <f t="shared" si="49"/>
        <v>0</v>
      </c>
      <c r="K251" s="118">
        <f>F251-L251-M251</f>
        <v>142</v>
      </c>
      <c r="L251" s="118">
        <f t="shared" si="66"/>
        <v>0</v>
      </c>
      <c r="M251" s="118">
        <f>IF(ISNUMBER(I251),I251*F251,F251)</f>
        <v>0</v>
      </c>
      <c r="N251" s="118"/>
    </row>
    <row r="252" spans="3:15" hidden="1" outlineLevel="1" x14ac:dyDescent="0.3">
      <c r="D252" s="153" t="s">
        <v>594</v>
      </c>
      <c r="E252" s="127">
        <v>170201</v>
      </c>
      <c r="F252" s="126">
        <v>68</v>
      </c>
      <c r="G252" s="69">
        <v>0.2102</v>
      </c>
      <c r="H252" s="69">
        <v>5.3800000000000001E-2</v>
      </c>
      <c r="I252" s="119">
        <f>1-G252-H252</f>
        <v>0.7360000000000001</v>
      </c>
      <c r="J252" s="379">
        <f t="shared" si="49"/>
        <v>1</v>
      </c>
      <c r="K252" s="118">
        <f>F252-L252-M252</f>
        <v>14.293599999999991</v>
      </c>
      <c r="L252" s="118">
        <f t="shared" si="66"/>
        <v>3.6583999999999999</v>
      </c>
      <c r="M252" s="118">
        <f>IF(ISNUMBER(I252),I252*F252,F252)</f>
        <v>50.048000000000009</v>
      </c>
      <c r="N252" s="118"/>
    </row>
    <row r="253" spans="3:15" ht="31.5" hidden="1" outlineLevel="1" x14ac:dyDescent="0.3">
      <c r="D253" s="153" t="s">
        <v>593</v>
      </c>
      <c r="E253" s="127">
        <v>210329</v>
      </c>
      <c r="F253" s="377">
        <v>175</v>
      </c>
      <c r="G253" s="77"/>
      <c r="H253" s="77"/>
      <c r="I253" s="180">
        <v>0</v>
      </c>
      <c r="J253" s="386">
        <f t="shared" si="49"/>
        <v>0</v>
      </c>
      <c r="K253" s="125">
        <f>F253-L253-M253</f>
        <v>175</v>
      </c>
      <c r="L253" s="125">
        <f t="shared" si="66"/>
        <v>0</v>
      </c>
      <c r="M253" s="125">
        <f>IF(ISNUMBER(I253),I253*F253,F253)</f>
        <v>0</v>
      </c>
      <c r="N253" s="118"/>
      <c r="O253" s="87" t="s">
        <v>592</v>
      </c>
    </row>
    <row r="254" spans="3:15" ht="31.5" hidden="1" outlineLevel="1" x14ac:dyDescent="0.3">
      <c r="D254" s="153" t="s">
        <v>591</v>
      </c>
      <c r="E254" s="127">
        <v>210330</v>
      </c>
      <c r="F254" s="126">
        <v>18</v>
      </c>
      <c r="G254" s="69"/>
      <c r="H254" s="69">
        <v>1</v>
      </c>
      <c r="I254" s="119"/>
      <c r="J254" s="379">
        <f t="shared" si="49"/>
        <v>0</v>
      </c>
      <c r="K254" s="118">
        <v>0</v>
      </c>
      <c r="L254" s="118">
        <f t="shared" si="66"/>
        <v>18</v>
      </c>
      <c r="M254" s="118">
        <v>0</v>
      </c>
      <c r="N254" s="118"/>
    </row>
    <row r="255" spans="3:15" ht="31.5" hidden="1" outlineLevel="1" x14ac:dyDescent="0.3">
      <c r="D255" s="153" t="s">
        <v>590</v>
      </c>
      <c r="E255" s="127">
        <v>110240</v>
      </c>
      <c r="F255" s="126">
        <v>26</v>
      </c>
      <c r="G255" s="69"/>
      <c r="H255" s="69"/>
      <c r="I255" s="119" t="s">
        <v>27</v>
      </c>
      <c r="J255" s="379">
        <f t="shared" si="49"/>
        <v>1</v>
      </c>
      <c r="K255" s="118">
        <f t="shared" ref="K255:K264" si="67">F255-L255-M255</f>
        <v>0</v>
      </c>
      <c r="L255" s="118">
        <f t="shared" si="66"/>
        <v>0</v>
      </c>
      <c r="M255" s="118">
        <f t="shared" ref="M255:M264" si="68">IF(ISNUMBER(I255),I255*F255,F255)</f>
        <v>26</v>
      </c>
      <c r="N255" s="118"/>
    </row>
    <row r="256" spans="3:15" hidden="1" outlineLevel="1" x14ac:dyDescent="0.3">
      <c r="D256" s="153" t="s">
        <v>589</v>
      </c>
      <c r="E256" s="127">
        <v>170107</v>
      </c>
      <c r="F256" s="126">
        <v>90</v>
      </c>
      <c r="G256" s="69"/>
      <c r="H256" s="69"/>
      <c r="I256" s="119" t="s">
        <v>27</v>
      </c>
      <c r="J256" s="379">
        <f t="shared" si="49"/>
        <v>1</v>
      </c>
      <c r="K256" s="118">
        <f t="shared" si="67"/>
        <v>0</v>
      </c>
      <c r="L256" s="118">
        <f t="shared" si="66"/>
        <v>0</v>
      </c>
      <c r="M256" s="118">
        <f t="shared" si="68"/>
        <v>90</v>
      </c>
      <c r="N256" s="118"/>
    </row>
    <row r="257" spans="4:15" ht="47.25" hidden="1" outlineLevel="1" x14ac:dyDescent="0.3">
      <c r="D257" s="153" t="s">
        <v>588</v>
      </c>
      <c r="E257" s="127">
        <v>200217</v>
      </c>
      <c r="F257" s="126">
        <v>0</v>
      </c>
      <c r="G257" s="69"/>
      <c r="H257" s="69"/>
      <c r="I257" s="119">
        <v>1</v>
      </c>
      <c r="J257" s="379">
        <f t="shared" si="49"/>
        <v>1</v>
      </c>
      <c r="K257" s="118">
        <f t="shared" si="67"/>
        <v>0</v>
      </c>
      <c r="L257" s="118">
        <f t="shared" si="66"/>
        <v>0</v>
      </c>
      <c r="M257" s="118">
        <f t="shared" si="68"/>
        <v>0</v>
      </c>
      <c r="N257" s="118"/>
    </row>
    <row r="258" spans="4:15" ht="47.25" hidden="1" outlineLevel="1" x14ac:dyDescent="0.3">
      <c r="D258" s="153" t="s">
        <v>587</v>
      </c>
      <c r="E258" s="127">
        <v>320122</v>
      </c>
      <c r="F258" s="126">
        <v>0</v>
      </c>
      <c r="G258" s="69"/>
      <c r="H258" s="69"/>
      <c r="I258" s="119">
        <v>0</v>
      </c>
      <c r="J258" s="379">
        <f t="shared" si="49"/>
        <v>0</v>
      </c>
      <c r="K258" s="118">
        <f t="shared" si="67"/>
        <v>0</v>
      </c>
      <c r="L258" s="118">
        <f t="shared" si="66"/>
        <v>0</v>
      </c>
      <c r="M258" s="118">
        <f t="shared" si="68"/>
        <v>0</v>
      </c>
      <c r="N258" s="118"/>
    </row>
    <row r="259" spans="4:15" hidden="1" outlineLevel="1" x14ac:dyDescent="0.3">
      <c r="D259" s="153" t="s">
        <v>586</v>
      </c>
      <c r="E259" s="127">
        <v>170108</v>
      </c>
      <c r="F259" s="126">
        <v>0</v>
      </c>
      <c r="G259" s="69"/>
      <c r="H259" s="69"/>
      <c r="I259" s="119" t="s">
        <v>27</v>
      </c>
      <c r="J259" s="379">
        <f t="shared" si="49"/>
        <v>1</v>
      </c>
      <c r="K259" s="118">
        <f t="shared" si="67"/>
        <v>0</v>
      </c>
      <c r="L259" s="118">
        <f t="shared" si="66"/>
        <v>0</v>
      </c>
      <c r="M259" s="118">
        <f t="shared" si="68"/>
        <v>0</v>
      </c>
      <c r="N259" s="118"/>
      <c r="O259" s="87" t="s">
        <v>585</v>
      </c>
    </row>
    <row r="260" spans="4:15" ht="31.5" hidden="1" outlineLevel="1" x14ac:dyDescent="0.3">
      <c r="D260" s="153" t="s">
        <v>584</v>
      </c>
      <c r="E260" s="127">
        <v>120147</v>
      </c>
      <c r="F260" s="126">
        <v>3</v>
      </c>
      <c r="G260" s="69"/>
      <c r="H260" s="69"/>
      <c r="I260" s="119">
        <v>0</v>
      </c>
      <c r="J260" s="379">
        <f t="shared" si="49"/>
        <v>0</v>
      </c>
      <c r="K260" s="118">
        <f t="shared" si="67"/>
        <v>3</v>
      </c>
      <c r="L260" s="118">
        <f t="shared" si="66"/>
        <v>0</v>
      </c>
      <c r="M260" s="118">
        <f t="shared" si="68"/>
        <v>0</v>
      </c>
      <c r="N260" s="118"/>
    </row>
    <row r="261" spans="4:15" ht="31.5" hidden="1" outlineLevel="1" x14ac:dyDescent="0.3">
      <c r="D261" s="153" t="s">
        <v>583</v>
      </c>
      <c r="E261" s="127">
        <v>170307</v>
      </c>
      <c r="F261" s="126">
        <v>0</v>
      </c>
      <c r="G261" s="69"/>
      <c r="H261" s="69"/>
      <c r="I261" s="119">
        <v>0</v>
      </c>
      <c r="J261" s="379">
        <f t="shared" si="49"/>
        <v>0</v>
      </c>
      <c r="K261" s="118">
        <f t="shared" si="67"/>
        <v>0</v>
      </c>
      <c r="L261" s="118">
        <f t="shared" si="66"/>
        <v>0</v>
      </c>
      <c r="M261" s="118">
        <f t="shared" si="68"/>
        <v>0</v>
      </c>
      <c r="N261" s="118"/>
    </row>
    <row r="262" spans="4:15" ht="31.5" hidden="1" outlineLevel="1" x14ac:dyDescent="0.3">
      <c r="D262" s="153" t="s">
        <v>582</v>
      </c>
      <c r="E262" s="127">
        <v>120101</v>
      </c>
      <c r="F262" s="126">
        <v>1</v>
      </c>
      <c r="G262" s="69"/>
      <c r="H262" s="69"/>
      <c r="I262" s="119">
        <v>0</v>
      </c>
      <c r="J262" s="379">
        <f t="shared" si="49"/>
        <v>0</v>
      </c>
      <c r="K262" s="118">
        <f t="shared" si="67"/>
        <v>1</v>
      </c>
      <c r="L262" s="118">
        <f t="shared" si="66"/>
        <v>0</v>
      </c>
      <c r="M262" s="118">
        <f t="shared" si="68"/>
        <v>0</v>
      </c>
      <c r="N262" s="118"/>
    </row>
    <row r="263" spans="4:15" ht="31.5" hidden="1" outlineLevel="1" x14ac:dyDescent="0.3">
      <c r="D263" s="153" t="s">
        <v>581</v>
      </c>
      <c r="E263" s="127">
        <v>110239</v>
      </c>
      <c r="F263" s="126">
        <v>0</v>
      </c>
      <c r="G263" s="69"/>
      <c r="H263" s="69"/>
      <c r="I263" s="119">
        <v>0</v>
      </c>
      <c r="J263" s="379">
        <f t="shared" ref="J263:J297" si="69">+IF(I263&lt;&gt;0, 1,0)</f>
        <v>0</v>
      </c>
      <c r="K263" s="118">
        <f t="shared" si="67"/>
        <v>0</v>
      </c>
      <c r="L263" s="118">
        <f t="shared" si="66"/>
        <v>0</v>
      </c>
      <c r="M263" s="118">
        <f t="shared" si="68"/>
        <v>0</v>
      </c>
      <c r="N263" s="118"/>
    </row>
    <row r="264" spans="4:15" ht="31.5" hidden="1" outlineLevel="1" x14ac:dyDescent="0.3">
      <c r="D264" s="153" t="s">
        <v>580</v>
      </c>
      <c r="E264" s="127">
        <v>500101</v>
      </c>
      <c r="F264" s="126">
        <v>0</v>
      </c>
      <c r="G264" s="69"/>
      <c r="H264" s="69"/>
      <c r="I264" s="119">
        <v>0</v>
      </c>
      <c r="J264" s="379">
        <f t="shared" si="69"/>
        <v>0</v>
      </c>
      <c r="K264" s="118">
        <f t="shared" si="67"/>
        <v>0</v>
      </c>
      <c r="L264" s="118">
        <f t="shared" si="66"/>
        <v>0</v>
      </c>
      <c r="M264" s="118">
        <f t="shared" si="68"/>
        <v>0</v>
      </c>
      <c r="N264" s="118"/>
    </row>
    <row r="265" spans="4:15" s="130" customFormat="1" collapsed="1" x14ac:dyDescent="0.3">
      <c r="D265" s="131" t="s">
        <v>579</v>
      </c>
      <c r="E265" s="11" t="s">
        <v>36</v>
      </c>
      <c r="F265" s="128">
        <f>SUM(F267:F271)</f>
        <v>123</v>
      </c>
      <c r="G265" s="167"/>
      <c r="H265" s="167"/>
      <c r="I265" s="168"/>
      <c r="J265" s="417"/>
      <c r="K265" s="128">
        <f>SUM(K267:K271)</f>
        <v>13.592208877153418</v>
      </c>
      <c r="L265" s="128">
        <f>SUM(L267:L271)</f>
        <v>5.6624079987842642</v>
      </c>
      <c r="M265" s="128">
        <f>SUM(M267:M271)</f>
        <v>103.74538312406231</v>
      </c>
      <c r="N265" s="128"/>
      <c r="O265" s="359">
        <f>+M265/F265</f>
        <v>0.84345839938262046</v>
      </c>
    </row>
    <row r="266" spans="4:15" hidden="1" outlineLevel="1" x14ac:dyDescent="0.3">
      <c r="D266" s="153" t="s">
        <v>578</v>
      </c>
      <c r="E266" s="127">
        <v>60201</v>
      </c>
      <c r="F266" s="126" t="s">
        <v>119</v>
      </c>
      <c r="G266" s="69">
        <v>0.10638686668365786</v>
      </c>
      <c r="H266" s="69">
        <v>4.7154036800466717E-2</v>
      </c>
      <c r="I266" s="119">
        <f>1-G266-H266</f>
        <v>0.84645909651587548</v>
      </c>
      <c r="J266" s="379">
        <f t="shared" si="69"/>
        <v>1</v>
      </c>
      <c r="K266" s="126" t="s">
        <v>119</v>
      </c>
      <c r="L266" s="126" t="s">
        <v>119</v>
      </c>
      <c r="M266" s="126" t="s">
        <v>119</v>
      </c>
      <c r="N266" s="126"/>
      <c r="O266" s="87" t="s">
        <v>577</v>
      </c>
    </row>
    <row r="267" spans="4:15" ht="31.5" hidden="1" outlineLevel="1" x14ac:dyDescent="0.3">
      <c r="D267" s="153" t="s">
        <v>576</v>
      </c>
      <c r="E267" s="127">
        <v>60102</v>
      </c>
      <c r="F267" s="126">
        <v>101</v>
      </c>
      <c r="G267" s="69">
        <v>0.10638686668365786</v>
      </c>
      <c r="H267" s="69">
        <v>4.7154036800466717E-2</v>
      </c>
      <c r="I267" s="119">
        <f>1-G267-H267</f>
        <v>0.84645909651587548</v>
      </c>
      <c r="J267" s="379">
        <f t="shared" si="69"/>
        <v>1</v>
      </c>
      <c r="K267" s="118">
        <f>F267-L267-M267</f>
        <v>10.745073535049443</v>
      </c>
      <c r="L267" s="118">
        <f>H267*$F267</f>
        <v>4.7625577168471382</v>
      </c>
      <c r="M267" s="118">
        <f>IF(ISNUMBER(I267),I267*F267,F267)</f>
        <v>85.492368748103416</v>
      </c>
      <c r="N267" s="118"/>
    </row>
    <row r="268" spans="4:15" hidden="1" outlineLevel="1" x14ac:dyDescent="0.3">
      <c r="D268" s="153" t="s">
        <v>575</v>
      </c>
      <c r="E268" s="132">
        <v>60108</v>
      </c>
      <c r="F268" s="126">
        <v>11</v>
      </c>
      <c r="G268" s="69">
        <v>0.06</v>
      </c>
      <c r="H268" s="69">
        <v>0.02</v>
      </c>
      <c r="I268" s="119">
        <f>1-G268-H268</f>
        <v>0.91999999999999993</v>
      </c>
      <c r="J268" s="379">
        <f t="shared" si="69"/>
        <v>1</v>
      </c>
      <c r="K268" s="118">
        <f>F268-L268-M268</f>
        <v>0.66000000000000014</v>
      </c>
      <c r="L268" s="118">
        <f>H268*$F268</f>
        <v>0.22</v>
      </c>
      <c r="M268" s="118">
        <f>IF(ISNUMBER(I268),I268*F268,F268)</f>
        <v>10.119999999999999</v>
      </c>
      <c r="N268" s="118"/>
    </row>
    <row r="269" spans="4:15" hidden="1" outlineLevel="1" x14ac:dyDescent="0.3">
      <c r="D269" s="153" t="s">
        <v>574</v>
      </c>
      <c r="E269" s="127">
        <v>60203</v>
      </c>
      <c r="F269" s="126">
        <v>8</v>
      </c>
      <c r="G269" s="69">
        <v>0.10638686668365786</v>
      </c>
      <c r="H269" s="69">
        <v>4.7154036800466717E-2</v>
      </c>
      <c r="I269" s="119">
        <f>1-G269-H269</f>
        <v>0.84645909651587548</v>
      </c>
      <c r="J269" s="379">
        <f t="shared" si="69"/>
        <v>1</v>
      </c>
      <c r="K269" s="118">
        <f>F269-L269-M269</f>
        <v>0.85109493346926257</v>
      </c>
      <c r="L269" s="118">
        <f>H269*$F269</f>
        <v>0.37723229440373374</v>
      </c>
      <c r="M269" s="118">
        <f>IF(ISNUMBER(I269),I269*F269,F269)</f>
        <v>6.7716727721270038</v>
      </c>
      <c r="N269" s="118"/>
    </row>
    <row r="270" spans="4:15" hidden="1" outlineLevel="1" x14ac:dyDescent="0.3">
      <c r="D270" s="153" t="s">
        <v>573</v>
      </c>
      <c r="E270" s="127">
        <v>60104</v>
      </c>
      <c r="F270" s="126">
        <v>2</v>
      </c>
      <c r="G270" s="69">
        <v>0.1680202043173562</v>
      </c>
      <c r="H270" s="69">
        <v>0.15130899376669635</v>
      </c>
      <c r="I270" s="119">
        <f>1-H270-G270</f>
        <v>0.68067080191594742</v>
      </c>
      <c r="J270" s="379">
        <f t="shared" si="69"/>
        <v>1</v>
      </c>
      <c r="K270" s="118">
        <f>F270-L270-M270</f>
        <v>0.33604040863471241</v>
      </c>
      <c r="L270" s="118">
        <f>H270*$F270</f>
        <v>0.3026179875333927</v>
      </c>
      <c r="M270" s="118">
        <f>IF(ISNUMBER(I270),I270*F270,F270)</f>
        <v>1.3613416038318948</v>
      </c>
      <c r="N270" s="118"/>
    </row>
    <row r="271" spans="4:15" hidden="1" outlineLevel="1" x14ac:dyDescent="0.3">
      <c r="D271" s="153" t="s">
        <v>572</v>
      </c>
      <c r="E271" s="127">
        <v>60106</v>
      </c>
      <c r="F271" s="126">
        <v>1</v>
      </c>
      <c r="G271" s="69"/>
      <c r="H271" s="69"/>
      <c r="I271" s="119">
        <v>0</v>
      </c>
      <c r="J271" s="379">
        <f t="shared" si="69"/>
        <v>0</v>
      </c>
      <c r="K271" s="118">
        <f>F271-L271-M271</f>
        <v>1</v>
      </c>
      <c r="L271" s="118">
        <f>H271*$F271</f>
        <v>0</v>
      </c>
      <c r="M271" s="118">
        <f>IF(ISNUMBER(I271),I271*F271,F271)</f>
        <v>0</v>
      </c>
      <c r="N271" s="118"/>
    </row>
    <row r="272" spans="4:15" hidden="1" outlineLevel="1" x14ac:dyDescent="0.3">
      <c r="D272" s="153" t="s">
        <v>571</v>
      </c>
      <c r="E272" s="127">
        <v>60202</v>
      </c>
      <c r="F272" s="126" t="s">
        <v>24</v>
      </c>
      <c r="G272" s="69"/>
      <c r="H272" s="69"/>
      <c r="I272" s="119">
        <v>0</v>
      </c>
      <c r="J272" s="379">
        <f t="shared" si="69"/>
        <v>0</v>
      </c>
      <c r="K272" s="126" t="s">
        <v>24</v>
      </c>
      <c r="L272" s="126" t="s">
        <v>24</v>
      </c>
      <c r="M272" s="126" t="s">
        <v>24</v>
      </c>
      <c r="N272" s="126"/>
    </row>
    <row r="273" spans="3:15" s="130" customFormat="1" collapsed="1" x14ac:dyDescent="0.3">
      <c r="D273" s="131" t="s">
        <v>570</v>
      </c>
      <c r="E273" s="11" t="s">
        <v>36</v>
      </c>
      <c r="F273" s="128">
        <f>F274</f>
        <v>2</v>
      </c>
      <c r="G273" s="167"/>
      <c r="H273" s="167"/>
      <c r="I273" s="168"/>
      <c r="J273" s="417"/>
      <c r="K273" s="128">
        <f>K274</f>
        <v>2</v>
      </c>
      <c r="L273" s="128">
        <f>L274</f>
        <v>0</v>
      </c>
      <c r="M273" s="128">
        <f>M274</f>
        <v>0</v>
      </c>
      <c r="N273" s="128"/>
    </row>
    <row r="274" spans="3:15" hidden="1" outlineLevel="1" x14ac:dyDescent="0.3">
      <c r="D274" s="153" t="s">
        <v>569</v>
      </c>
      <c r="E274" s="127">
        <v>530208</v>
      </c>
      <c r="F274" s="126">
        <v>2</v>
      </c>
      <c r="G274" s="69"/>
      <c r="H274" s="69"/>
      <c r="I274" s="119">
        <v>0</v>
      </c>
      <c r="J274" s="379">
        <f t="shared" si="69"/>
        <v>0</v>
      </c>
      <c r="K274" s="118">
        <f>F274-L274-M274</f>
        <v>2</v>
      </c>
      <c r="L274" s="118">
        <f>H274*$F274</f>
        <v>0</v>
      </c>
      <c r="M274" s="118">
        <f>IF(ISNUMBER(I274),I274*F274,F274)</f>
        <v>0</v>
      </c>
      <c r="N274" s="118"/>
    </row>
    <row r="275" spans="3:15" hidden="1" outlineLevel="1" x14ac:dyDescent="0.3">
      <c r="D275" s="153" t="s">
        <v>568</v>
      </c>
      <c r="E275" s="127">
        <v>530216</v>
      </c>
      <c r="F275" s="126" t="s">
        <v>119</v>
      </c>
      <c r="G275" s="69"/>
      <c r="H275" s="69"/>
      <c r="I275" s="119" t="s">
        <v>566</v>
      </c>
      <c r="J275" s="379">
        <f t="shared" si="69"/>
        <v>1</v>
      </c>
      <c r="K275" s="118" t="s">
        <v>119</v>
      </c>
      <c r="L275" s="118" t="s">
        <v>119</v>
      </c>
      <c r="M275" s="118" t="str">
        <f>IF(ISNUMBER(I275),I275*F275,F275)</f>
        <v>nc</v>
      </c>
      <c r="N275" s="118"/>
    </row>
    <row r="276" spans="3:15" hidden="1" outlineLevel="1" x14ac:dyDescent="0.3">
      <c r="D276" s="153" t="s">
        <v>567</v>
      </c>
      <c r="E276" s="127">
        <v>530217</v>
      </c>
      <c r="F276" s="126" t="s">
        <v>119</v>
      </c>
      <c r="G276" s="69"/>
      <c r="H276" s="69"/>
      <c r="I276" s="119" t="s">
        <v>566</v>
      </c>
      <c r="J276" s="379">
        <f t="shared" si="69"/>
        <v>1</v>
      </c>
      <c r="K276" s="118" t="s">
        <v>119</v>
      </c>
      <c r="L276" s="118" t="s">
        <v>119</v>
      </c>
      <c r="M276" s="118" t="str">
        <f>IF(ISNUMBER(I276),I276*F276,F276)</f>
        <v>nc</v>
      </c>
      <c r="N276" s="118"/>
    </row>
    <row r="277" spans="3:15" s="130" customFormat="1" collapsed="1" x14ac:dyDescent="0.3">
      <c r="D277" s="131" t="s">
        <v>565</v>
      </c>
      <c r="E277" s="11" t="s">
        <v>36</v>
      </c>
      <c r="F277" s="128">
        <f>F278</f>
        <v>2</v>
      </c>
      <c r="G277" s="167"/>
      <c r="H277" s="167"/>
      <c r="I277" s="168"/>
      <c r="J277" s="417"/>
      <c r="K277" s="128">
        <f>K278</f>
        <v>2</v>
      </c>
      <c r="L277" s="128">
        <f>L278</f>
        <v>0</v>
      </c>
      <c r="M277" s="128">
        <f>M278</f>
        <v>0</v>
      </c>
      <c r="N277" s="128"/>
    </row>
    <row r="278" spans="3:15" ht="47.25" hidden="1" outlineLevel="1" x14ac:dyDescent="0.3">
      <c r="D278" s="153" t="s">
        <v>564</v>
      </c>
      <c r="E278" s="127">
        <v>730212</v>
      </c>
      <c r="F278" s="126">
        <v>2</v>
      </c>
      <c r="G278" s="69"/>
      <c r="H278" s="69"/>
      <c r="I278" s="119">
        <v>0</v>
      </c>
      <c r="J278" s="379">
        <f t="shared" si="69"/>
        <v>0</v>
      </c>
      <c r="K278" s="118">
        <f>F278-L278-M278</f>
        <v>2</v>
      </c>
      <c r="L278" s="118">
        <f>H278*$F278</f>
        <v>0</v>
      </c>
      <c r="M278" s="118">
        <f>IF(ISNUMBER(I278),I278*F278,F278)</f>
        <v>0</v>
      </c>
      <c r="N278" s="118"/>
    </row>
    <row r="279" spans="3:15" s="130" customFormat="1" collapsed="1" x14ac:dyDescent="0.3">
      <c r="D279" s="131" t="s">
        <v>563</v>
      </c>
      <c r="E279" s="11" t="s">
        <v>36</v>
      </c>
      <c r="F279" s="128">
        <f>F280</f>
        <v>3</v>
      </c>
      <c r="G279" s="167"/>
      <c r="H279" s="167"/>
      <c r="I279" s="168"/>
      <c r="J279" s="417"/>
      <c r="K279" s="128">
        <f>K280</f>
        <v>0</v>
      </c>
      <c r="L279" s="128">
        <f>L280</f>
        <v>0</v>
      </c>
      <c r="M279" s="128">
        <f>M280</f>
        <v>3</v>
      </c>
      <c r="N279" s="128"/>
    </row>
    <row r="280" spans="3:15" ht="31.5" hidden="1" outlineLevel="1" x14ac:dyDescent="0.3">
      <c r="D280" s="153" t="s">
        <v>562</v>
      </c>
      <c r="E280" s="127">
        <v>730302</v>
      </c>
      <c r="F280" s="126">
        <v>3</v>
      </c>
      <c r="G280" s="69"/>
      <c r="H280" s="69"/>
      <c r="I280" s="119" t="s">
        <v>27</v>
      </c>
      <c r="J280" s="379">
        <f t="shared" si="69"/>
        <v>1</v>
      </c>
      <c r="K280" s="118">
        <f>F280-L280-M280</f>
        <v>0</v>
      </c>
      <c r="L280" s="118">
        <f>H280*$F280</f>
        <v>0</v>
      </c>
      <c r="M280" s="118">
        <f>IF(ISNUMBER(I280),I280*F280,F280)</f>
        <v>3</v>
      </c>
      <c r="N280" s="118"/>
    </row>
    <row r="281" spans="3:15" collapsed="1" x14ac:dyDescent="0.3">
      <c r="C281" s="87" t="s">
        <v>1</v>
      </c>
      <c r="D281" s="73" t="s">
        <v>559</v>
      </c>
      <c r="E281" s="73" t="s">
        <v>559</v>
      </c>
      <c r="F281" s="84">
        <f>SUM(F282:F283)</f>
        <v>466</v>
      </c>
      <c r="G281" s="84"/>
      <c r="H281" s="84"/>
      <c r="I281" s="84"/>
      <c r="J281" s="415"/>
      <c r="K281" s="84">
        <f>SUM(K282:K283)</f>
        <v>0</v>
      </c>
      <c r="L281" s="84">
        <f>SUM(L282:L283)</f>
        <v>0</v>
      </c>
      <c r="M281" s="84">
        <f>SUM(M282:M283)</f>
        <v>466</v>
      </c>
      <c r="N281" s="84"/>
    </row>
    <row r="282" spans="3:15" x14ac:dyDescent="0.3">
      <c r="D282" s="81" t="s">
        <v>561</v>
      </c>
      <c r="E282" s="42" t="s">
        <v>559</v>
      </c>
      <c r="F282" s="120">
        <v>423</v>
      </c>
      <c r="G282" s="69"/>
      <c r="H282" s="69"/>
      <c r="I282" s="119" t="s">
        <v>27</v>
      </c>
      <c r="J282" s="379">
        <f t="shared" si="69"/>
        <v>1</v>
      </c>
      <c r="K282" s="118">
        <f>F282-L282-M282</f>
        <v>0</v>
      </c>
      <c r="L282" s="118">
        <f>H282*$F282</f>
        <v>0</v>
      </c>
      <c r="M282" s="118">
        <f>IF(ISNUMBER(I282),I282*F282,F282)</f>
        <v>423</v>
      </c>
      <c r="N282" s="118"/>
      <c r="O282" s="87" t="s">
        <v>558</v>
      </c>
    </row>
    <row r="283" spans="3:15" x14ac:dyDescent="0.3">
      <c r="D283" s="81" t="s">
        <v>560</v>
      </c>
      <c r="E283" s="42" t="s">
        <v>559</v>
      </c>
      <c r="F283" s="120">
        <v>43</v>
      </c>
      <c r="G283" s="69"/>
      <c r="H283" s="69"/>
      <c r="I283" s="119" t="s">
        <v>27</v>
      </c>
      <c r="J283" s="379">
        <f t="shared" si="69"/>
        <v>1</v>
      </c>
      <c r="K283" s="118">
        <f>F283-L283-M283</f>
        <v>0</v>
      </c>
      <c r="L283" s="118">
        <f>H283*$F283</f>
        <v>0</v>
      </c>
      <c r="M283" s="118">
        <f>IF(ISNUMBER(I283),I283*F283,F283)</f>
        <v>43</v>
      </c>
      <c r="N283" s="118"/>
      <c r="O283" s="87" t="s">
        <v>558</v>
      </c>
    </row>
    <row r="284" spans="3:15" x14ac:dyDescent="0.3">
      <c r="D284" s="73" t="s">
        <v>557</v>
      </c>
      <c r="E284" s="73" t="s">
        <v>554</v>
      </c>
      <c r="F284" s="72">
        <f>F285+F286</f>
        <v>8912</v>
      </c>
      <c r="G284" s="72"/>
      <c r="H284" s="72"/>
      <c r="I284" s="72"/>
      <c r="J284" s="421"/>
      <c r="K284" s="72">
        <f>K285+K286</f>
        <v>8912</v>
      </c>
      <c r="L284" s="72">
        <f>L285+L286</f>
        <v>0</v>
      </c>
      <c r="M284" s="72">
        <f>M285+M286</f>
        <v>0</v>
      </c>
      <c r="N284" s="72"/>
    </row>
    <row r="285" spans="3:15" x14ac:dyDescent="0.3">
      <c r="D285" s="81" t="s">
        <v>556</v>
      </c>
      <c r="E285" s="42" t="s">
        <v>554</v>
      </c>
      <c r="F285" s="120">
        <v>2593</v>
      </c>
      <c r="G285" s="69"/>
      <c r="H285" s="69"/>
      <c r="I285" s="119">
        <v>0</v>
      </c>
      <c r="J285" s="379">
        <f t="shared" si="69"/>
        <v>0</v>
      </c>
      <c r="K285" s="118">
        <f>F285-L285-M285</f>
        <v>2593</v>
      </c>
      <c r="L285" s="118">
        <f>H285*$F285</f>
        <v>0</v>
      </c>
      <c r="M285" s="118">
        <f>IF(ISNUMBER(I285),I285*F285,F285)</f>
        <v>0</v>
      </c>
      <c r="N285" s="118"/>
    </row>
    <row r="286" spans="3:15" x14ac:dyDescent="0.3">
      <c r="D286" s="81" t="s">
        <v>555</v>
      </c>
      <c r="E286" s="42" t="s">
        <v>554</v>
      </c>
      <c r="F286" s="120">
        <v>6319</v>
      </c>
      <c r="G286" s="69"/>
      <c r="H286" s="69"/>
      <c r="I286" s="119">
        <v>0</v>
      </c>
      <c r="J286" s="379">
        <f t="shared" si="69"/>
        <v>0</v>
      </c>
      <c r="K286" s="118">
        <f>F286-L286-M286</f>
        <v>6319</v>
      </c>
      <c r="L286" s="118">
        <f>H286*$F286</f>
        <v>0</v>
      </c>
      <c r="M286" s="118">
        <f>IF(ISNUMBER(I286),I286*F286,F286)</f>
        <v>0</v>
      </c>
      <c r="N286" s="118"/>
    </row>
    <row r="287" spans="3:15" x14ac:dyDescent="0.3">
      <c r="D287" s="73" t="s">
        <v>479</v>
      </c>
      <c r="E287" s="73" t="s">
        <v>479</v>
      </c>
      <c r="F287" s="72">
        <f>F288</f>
        <v>313.5</v>
      </c>
      <c r="G287" s="72"/>
      <c r="H287" s="72"/>
      <c r="I287" s="72"/>
      <c r="J287" s="421"/>
      <c r="K287" s="72">
        <f>K288</f>
        <v>240.77384770743137</v>
      </c>
      <c r="L287" s="72">
        <f>L288</f>
        <v>2.0754535794288493</v>
      </c>
      <c r="M287" s="72">
        <f>M288</f>
        <v>70.650698713139803</v>
      </c>
      <c r="N287" s="72"/>
    </row>
    <row r="288" spans="3:15" x14ac:dyDescent="0.3">
      <c r="D288" s="81" t="s">
        <v>480</v>
      </c>
      <c r="E288" s="41" t="s">
        <v>479</v>
      </c>
      <c r="F288" s="120">
        <v>313.5</v>
      </c>
      <c r="G288" s="180">
        <f>K65/$F65</f>
        <v>0.76801865297426253</v>
      </c>
      <c r="H288" s="180">
        <f>L65/$F65</f>
        <v>6.6202666010489611E-3</v>
      </c>
      <c r="I288" s="180">
        <f>M65/$F65</f>
        <v>0.22536108042468836</v>
      </c>
      <c r="J288" s="386">
        <f t="shared" si="69"/>
        <v>1</v>
      </c>
      <c r="K288" s="125">
        <f>F288-L288-M288</f>
        <v>240.77384770743137</v>
      </c>
      <c r="L288" s="125">
        <f>H288*$F288</f>
        <v>2.0754535794288493</v>
      </c>
      <c r="M288" s="125">
        <f>IF(ISNUMBER(I288),I288*F288,F288)</f>
        <v>70.650698713139803</v>
      </c>
      <c r="N288" s="125"/>
      <c r="O288" s="87" t="s">
        <v>553</v>
      </c>
    </row>
    <row r="289" spans="1:19" x14ac:dyDescent="0.3">
      <c r="D289" s="73" t="s">
        <v>455</v>
      </c>
      <c r="E289" s="73" t="s">
        <v>455</v>
      </c>
      <c r="F289" s="72">
        <f>SUM(F290:F297)</f>
        <v>7484.1</v>
      </c>
      <c r="G289" s="72"/>
      <c r="H289" s="72"/>
      <c r="I289" s="72"/>
      <c r="J289" s="421"/>
      <c r="K289" s="72">
        <f>SUM(K290:K297)</f>
        <v>7484.1</v>
      </c>
      <c r="L289" s="72">
        <f>SUM(L290:L297)</f>
        <v>0</v>
      </c>
      <c r="M289" s="72">
        <f>SUM(M290:M297)</f>
        <v>0</v>
      </c>
      <c r="N289" s="72"/>
    </row>
    <row r="290" spans="1:19" x14ac:dyDescent="0.3">
      <c r="D290" s="81" t="s">
        <v>552</v>
      </c>
      <c r="E290" s="42" t="s">
        <v>455</v>
      </c>
      <c r="F290" s="120">
        <v>4754.1000000000004</v>
      </c>
      <c r="G290" s="69"/>
      <c r="H290" s="69"/>
      <c r="I290" s="119">
        <v>0</v>
      </c>
      <c r="J290" s="379">
        <f t="shared" si="69"/>
        <v>0</v>
      </c>
      <c r="K290" s="118">
        <f t="shared" ref="K290:K297" si="70">F290-L290-M290</f>
        <v>4754.1000000000004</v>
      </c>
      <c r="L290" s="118">
        <f t="shared" ref="L290:L297" si="71">H290*$F290</f>
        <v>0</v>
      </c>
      <c r="M290" s="118">
        <f t="shared" ref="M290:M297" si="72">IF(ISNUMBER(I290),I290*F290,F290)</f>
        <v>0</v>
      </c>
      <c r="N290" s="118"/>
    </row>
    <row r="291" spans="1:19" x14ac:dyDescent="0.3">
      <c r="D291" s="81" t="s">
        <v>551</v>
      </c>
      <c r="E291" s="42" t="s">
        <v>455</v>
      </c>
      <c r="F291" s="120">
        <v>2332</v>
      </c>
      <c r="G291" s="69"/>
      <c r="H291" s="69"/>
      <c r="I291" s="119">
        <v>0</v>
      </c>
      <c r="J291" s="379">
        <f t="shared" si="69"/>
        <v>0</v>
      </c>
      <c r="K291" s="118">
        <f t="shared" si="70"/>
        <v>2332</v>
      </c>
      <c r="L291" s="118">
        <f t="shared" si="71"/>
        <v>0</v>
      </c>
      <c r="M291" s="118">
        <f t="shared" si="72"/>
        <v>0</v>
      </c>
      <c r="N291" s="118"/>
    </row>
    <row r="292" spans="1:19" x14ac:dyDescent="0.3">
      <c r="D292" s="81" t="s">
        <v>550</v>
      </c>
      <c r="E292" s="42" t="s">
        <v>455</v>
      </c>
      <c r="F292" s="120">
        <v>322.2</v>
      </c>
      <c r="G292" s="69"/>
      <c r="H292" s="69"/>
      <c r="I292" s="119">
        <v>0</v>
      </c>
      <c r="J292" s="379">
        <f t="shared" si="69"/>
        <v>0</v>
      </c>
      <c r="K292" s="118">
        <f t="shared" si="70"/>
        <v>322.2</v>
      </c>
      <c r="L292" s="118">
        <f t="shared" si="71"/>
        <v>0</v>
      </c>
      <c r="M292" s="118">
        <f t="shared" si="72"/>
        <v>0</v>
      </c>
      <c r="N292" s="118"/>
    </row>
    <row r="293" spans="1:19" x14ac:dyDescent="0.3">
      <c r="D293" s="81" t="s">
        <v>549</v>
      </c>
      <c r="E293" s="42" t="s">
        <v>455</v>
      </c>
      <c r="F293" s="120">
        <v>28</v>
      </c>
      <c r="G293" s="69"/>
      <c r="H293" s="69"/>
      <c r="I293" s="119">
        <v>0</v>
      </c>
      <c r="J293" s="379">
        <f t="shared" si="69"/>
        <v>0</v>
      </c>
      <c r="K293" s="118">
        <f t="shared" si="70"/>
        <v>28</v>
      </c>
      <c r="L293" s="118">
        <f t="shared" si="71"/>
        <v>0</v>
      </c>
      <c r="M293" s="118">
        <f t="shared" si="72"/>
        <v>0</v>
      </c>
      <c r="N293" s="118"/>
    </row>
    <row r="294" spans="1:19" x14ac:dyDescent="0.3">
      <c r="D294" s="81" t="s">
        <v>548</v>
      </c>
      <c r="E294" s="42" t="s">
        <v>455</v>
      </c>
      <c r="F294" s="120">
        <v>26.2</v>
      </c>
      <c r="G294" s="69"/>
      <c r="H294" s="69"/>
      <c r="I294" s="119">
        <v>0</v>
      </c>
      <c r="J294" s="379">
        <f t="shared" si="69"/>
        <v>0</v>
      </c>
      <c r="K294" s="118">
        <f t="shared" si="70"/>
        <v>26.2</v>
      </c>
      <c r="L294" s="118">
        <f t="shared" si="71"/>
        <v>0</v>
      </c>
      <c r="M294" s="118">
        <f t="shared" si="72"/>
        <v>0</v>
      </c>
      <c r="N294" s="118"/>
    </row>
    <row r="295" spans="1:19" x14ac:dyDescent="0.3">
      <c r="D295" s="81" t="s">
        <v>547</v>
      </c>
      <c r="E295" s="124" t="s">
        <v>455</v>
      </c>
      <c r="F295" s="123">
        <v>14</v>
      </c>
      <c r="G295" s="122"/>
      <c r="H295" s="122"/>
      <c r="I295" s="121">
        <v>0</v>
      </c>
      <c r="J295" s="412">
        <f t="shared" si="69"/>
        <v>0</v>
      </c>
      <c r="K295" s="118">
        <f t="shared" si="70"/>
        <v>14</v>
      </c>
      <c r="L295" s="118">
        <f t="shared" si="71"/>
        <v>0</v>
      </c>
      <c r="M295" s="118">
        <f t="shared" si="72"/>
        <v>0</v>
      </c>
      <c r="N295" s="118"/>
    </row>
    <row r="296" spans="1:19" x14ac:dyDescent="0.3">
      <c r="D296" s="81" t="s">
        <v>546</v>
      </c>
      <c r="E296" s="42" t="s">
        <v>455</v>
      </c>
      <c r="F296" s="120">
        <v>6.8</v>
      </c>
      <c r="G296" s="69"/>
      <c r="H296" s="69"/>
      <c r="I296" s="119">
        <v>0</v>
      </c>
      <c r="J296" s="379">
        <f t="shared" si="69"/>
        <v>0</v>
      </c>
      <c r="K296" s="118">
        <f t="shared" si="70"/>
        <v>6.8</v>
      </c>
      <c r="L296" s="118">
        <f t="shared" si="71"/>
        <v>0</v>
      </c>
      <c r="M296" s="118">
        <f t="shared" si="72"/>
        <v>0</v>
      </c>
      <c r="N296" s="118"/>
    </row>
    <row r="297" spans="1:19" x14ac:dyDescent="0.3">
      <c r="D297" s="81" t="s">
        <v>545</v>
      </c>
      <c r="E297" s="42" t="s">
        <v>455</v>
      </c>
      <c r="F297" s="120">
        <v>0.8</v>
      </c>
      <c r="G297" s="69"/>
      <c r="H297" s="69"/>
      <c r="I297" s="119">
        <v>0</v>
      </c>
      <c r="J297" s="379">
        <f t="shared" si="69"/>
        <v>0</v>
      </c>
      <c r="K297" s="118">
        <f t="shared" si="70"/>
        <v>0.8</v>
      </c>
      <c r="L297" s="118">
        <f t="shared" si="71"/>
        <v>0</v>
      </c>
      <c r="M297" s="118">
        <f t="shared" si="72"/>
        <v>0</v>
      </c>
      <c r="N297" s="118"/>
    </row>
    <row r="299" spans="1:19" s="1" customFormat="1" ht="18" x14ac:dyDescent="0.35">
      <c r="A299" s="1" t="s">
        <v>1</v>
      </c>
      <c r="B299" s="23">
        <v>2</v>
      </c>
      <c r="C299" s="1" t="s">
        <v>1</v>
      </c>
      <c r="D299" s="22" t="s">
        <v>15</v>
      </c>
      <c r="E299" s="21"/>
      <c r="F299" s="21"/>
      <c r="G299" s="21"/>
      <c r="H299" s="392"/>
      <c r="I299" s="21"/>
      <c r="J299" s="392"/>
      <c r="K299" s="21"/>
      <c r="L299" s="21"/>
      <c r="M299" s="21"/>
      <c r="N299" s="21"/>
      <c r="O299" s="21"/>
      <c r="P299" s="21"/>
      <c r="Q299" s="21"/>
      <c r="R299" s="21"/>
      <c r="S299" s="21"/>
    </row>
    <row r="301" spans="1:19" s="317" customFormat="1" ht="31.5" x14ac:dyDescent="0.3">
      <c r="F301" s="318" t="s">
        <v>14</v>
      </c>
      <c r="G301" s="353"/>
      <c r="H301" s="353"/>
      <c r="I301" s="353"/>
      <c r="J301" s="422"/>
      <c r="K301" s="318" t="s">
        <v>544</v>
      </c>
      <c r="L301" s="318" t="s">
        <v>543</v>
      </c>
      <c r="M301" s="318" t="s">
        <v>542</v>
      </c>
      <c r="N301" s="318"/>
      <c r="O301" s="317" t="s">
        <v>541</v>
      </c>
      <c r="P301" s="363" t="s">
        <v>540</v>
      </c>
      <c r="Q301" s="363" t="s">
        <v>539</v>
      </c>
    </row>
    <row r="302" spans="1:19" x14ac:dyDescent="0.3">
      <c r="D302" s="18" t="s">
        <v>6</v>
      </c>
      <c r="E302" s="64"/>
      <c r="F302" s="116">
        <f>F303+F306</f>
        <v>9076.0300000000007</v>
      </c>
      <c r="G302" s="46"/>
      <c r="H302" s="46"/>
      <c r="I302" s="46"/>
      <c r="K302" s="116">
        <f>K303+K306</f>
        <v>2386.1233525072967</v>
      </c>
      <c r="L302" s="116">
        <f>L303+L306</f>
        <v>433.67580687058819</v>
      </c>
      <c r="M302" s="116">
        <f>M303+M306</f>
        <v>6255.0629687394548</v>
      </c>
      <c r="N302" s="116"/>
      <c r="O302" s="115">
        <f t="shared" ref="O302:O322" si="73">K302/$F302</f>
        <v>0.26290386352924094</v>
      </c>
      <c r="P302" s="115">
        <f t="shared" ref="P302:P322" si="74">L302/$F302</f>
        <v>4.7782544446259893E-2</v>
      </c>
      <c r="Q302" s="115">
        <f t="shared" ref="Q302:Q322" si="75">M302/$F302</f>
        <v>0.68918491551255934</v>
      </c>
    </row>
    <row r="303" spans="1:19" x14ac:dyDescent="0.3">
      <c r="D303" s="15" t="s">
        <v>538</v>
      </c>
      <c r="E303" s="14"/>
      <c r="F303" s="44">
        <f>F304+F305</f>
        <v>7306.8700000000008</v>
      </c>
      <c r="G303" s="354"/>
      <c r="H303" s="354"/>
      <c r="I303" s="46"/>
      <c r="K303" s="44">
        <f>K304+K305</f>
        <v>1027.3754724113505</v>
      </c>
      <c r="L303" s="44">
        <f>L304+L305</f>
        <v>421.96349601067641</v>
      </c>
      <c r="M303" s="44">
        <f>M304+M305</f>
        <v>5856.3631596953128</v>
      </c>
      <c r="N303" s="44"/>
      <c r="O303" s="114">
        <f t="shared" si="73"/>
        <v>0.14060404419557901</v>
      </c>
      <c r="P303" s="114">
        <f t="shared" si="74"/>
        <v>5.7748871406043401E-2</v>
      </c>
      <c r="Q303" s="114">
        <f t="shared" si="75"/>
        <v>0.80148725236596685</v>
      </c>
    </row>
    <row r="304" spans="1:19" x14ac:dyDescent="0.3">
      <c r="D304" s="63" t="s">
        <v>537</v>
      </c>
      <c r="E304" s="108"/>
      <c r="F304" s="107">
        <f>F7</f>
        <v>6985.56</v>
      </c>
      <c r="G304" s="354"/>
      <c r="H304" s="354"/>
      <c r="I304" s="46"/>
      <c r="K304" s="107">
        <f>K7</f>
        <v>894.62547241135042</v>
      </c>
      <c r="L304" s="107">
        <f>L7</f>
        <v>421.96349601067641</v>
      </c>
      <c r="M304" s="107">
        <f>M7</f>
        <v>5667.8031596953124</v>
      </c>
      <c r="N304" s="107"/>
      <c r="O304" s="106">
        <f t="shared" si="73"/>
        <v>0.12806782454253493</v>
      </c>
      <c r="P304" s="106">
        <f t="shared" si="74"/>
        <v>6.0405106535578589E-2</v>
      </c>
      <c r="Q304" s="106">
        <f t="shared" si="75"/>
        <v>0.81135988520538249</v>
      </c>
    </row>
    <row r="305" spans="4:17" x14ac:dyDescent="0.3">
      <c r="D305" s="63" t="s">
        <v>536</v>
      </c>
      <c r="E305" s="108"/>
      <c r="F305" s="107">
        <f>F162</f>
        <v>321.31</v>
      </c>
      <c r="G305" s="354"/>
      <c r="H305" s="354"/>
      <c r="I305" s="46"/>
      <c r="K305" s="107">
        <f>K162</f>
        <v>132.75</v>
      </c>
      <c r="L305" s="107">
        <f>L162</f>
        <v>0</v>
      </c>
      <c r="M305" s="107">
        <f>M162</f>
        <v>188.56</v>
      </c>
      <c r="N305" s="107"/>
      <c r="O305" s="106">
        <f t="shared" si="73"/>
        <v>0.41315240733248265</v>
      </c>
      <c r="P305" s="106">
        <f t="shared" si="74"/>
        <v>0</v>
      </c>
      <c r="Q305" s="106">
        <f t="shared" si="75"/>
        <v>0.5868475926675174</v>
      </c>
    </row>
    <row r="306" spans="4:17" x14ac:dyDescent="0.3">
      <c r="D306" s="15" t="s">
        <v>462</v>
      </c>
      <c r="E306" s="14"/>
      <c r="F306" s="44">
        <f>F65</f>
        <v>1769.16</v>
      </c>
      <c r="G306" s="354"/>
      <c r="H306" s="354"/>
      <c r="I306" s="46"/>
      <c r="K306" s="44">
        <f>K65</f>
        <v>1358.7478800959464</v>
      </c>
      <c r="L306" s="44">
        <f>L65</f>
        <v>11.712310859911781</v>
      </c>
      <c r="M306" s="44">
        <f>M65</f>
        <v>398.69980904414166</v>
      </c>
      <c r="N306" s="44"/>
      <c r="O306" s="8">
        <f t="shared" si="73"/>
        <v>0.76801865297426253</v>
      </c>
      <c r="P306" s="8">
        <f t="shared" si="74"/>
        <v>6.6202666010489611E-3</v>
      </c>
      <c r="Q306" s="8">
        <f t="shared" si="75"/>
        <v>0.22536108042468836</v>
      </c>
    </row>
    <row r="307" spans="4:17" x14ac:dyDescent="0.3">
      <c r="D307" s="11" t="s">
        <v>535</v>
      </c>
      <c r="E307" s="10"/>
      <c r="F307" s="113">
        <f>SUM(F308:F313)</f>
        <v>5619.3355999999994</v>
      </c>
      <c r="G307" s="354"/>
      <c r="H307" s="354"/>
      <c r="I307" s="46"/>
      <c r="K307" s="113">
        <f t="shared" ref="K307" si="76">SUM(K308:K313)</f>
        <v>5382.5754079999988</v>
      </c>
      <c r="L307" s="113">
        <f t="shared" ref="L307:M307" si="77">SUM(L308:L313)</f>
        <v>0.37875200000000042</v>
      </c>
      <c r="M307" s="113">
        <f t="shared" si="77"/>
        <v>236.38144</v>
      </c>
      <c r="N307" s="113"/>
      <c r="O307" s="45">
        <f t="shared" si="73"/>
        <v>0.95786687095179002</v>
      </c>
      <c r="P307" s="45">
        <f t="shared" si="74"/>
        <v>6.7401562561951355E-5</v>
      </c>
      <c r="Q307" s="45">
        <f t="shared" si="75"/>
        <v>4.206572748564795E-2</v>
      </c>
    </row>
    <row r="308" spans="4:17" x14ac:dyDescent="0.3">
      <c r="D308" s="63" t="s">
        <v>534</v>
      </c>
      <c r="E308" s="14"/>
      <c r="F308" s="44">
        <f>F239</f>
        <v>443</v>
      </c>
      <c r="G308" s="44"/>
      <c r="H308" s="44"/>
      <c r="I308" s="44"/>
      <c r="J308" s="423"/>
      <c r="K308" s="44">
        <f t="shared" ref="K308:M309" si="78">K239</f>
        <v>443</v>
      </c>
      <c r="L308" s="44">
        <f t="shared" si="78"/>
        <v>0</v>
      </c>
      <c r="M308" s="44">
        <f t="shared" si="78"/>
        <v>0</v>
      </c>
      <c r="N308" s="44"/>
      <c r="O308" s="8">
        <f t="shared" si="73"/>
        <v>1</v>
      </c>
      <c r="P308" s="8">
        <f t="shared" si="74"/>
        <v>0</v>
      </c>
      <c r="Q308" s="8">
        <f t="shared" si="75"/>
        <v>0</v>
      </c>
    </row>
    <row r="309" spans="4:17" x14ac:dyDescent="0.3">
      <c r="D309" s="63" t="s">
        <v>533</v>
      </c>
      <c r="E309" s="14"/>
      <c r="F309" s="44">
        <f>F240</f>
        <v>1695.7</v>
      </c>
      <c r="G309" s="44"/>
      <c r="H309" s="44"/>
      <c r="I309" s="44"/>
      <c r="J309" s="423"/>
      <c r="K309" s="44">
        <f t="shared" si="78"/>
        <v>1695.7</v>
      </c>
      <c r="L309" s="44">
        <f t="shared" si="78"/>
        <v>0</v>
      </c>
      <c r="M309" s="44">
        <f t="shared" si="78"/>
        <v>0</v>
      </c>
      <c r="N309" s="44"/>
      <c r="O309" s="8">
        <f t="shared" si="73"/>
        <v>1</v>
      </c>
      <c r="P309" s="8">
        <f t="shared" si="74"/>
        <v>0</v>
      </c>
      <c r="Q309" s="8">
        <f t="shared" si="75"/>
        <v>0</v>
      </c>
    </row>
    <row r="310" spans="4:17" ht="32.25" customHeight="1" x14ac:dyDescent="0.3">
      <c r="D310" s="63" t="s">
        <v>532</v>
      </c>
      <c r="E310" s="14"/>
      <c r="F310" s="44">
        <f>(F198-F229-F217)</f>
        <v>1810.6799999999998</v>
      </c>
      <c r="G310" s="44"/>
      <c r="H310" s="44"/>
      <c r="I310" s="44"/>
      <c r="J310" s="423"/>
      <c r="K310" s="44">
        <f>(K198-K229-K217)</f>
        <v>1573.9198079999999</v>
      </c>
      <c r="L310" s="44">
        <f>(L198-L229-L217)</f>
        <v>0.37875200000000042</v>
      </c>
      <c r="M310" s="44">
        <f>(M198-M229-M217)</f>
        <v>236.38144</v>
      </c>
      <c r="N310" s="44"/>
      <c r="O310" s="8">
        <f t="shared" si="73"/>
        <v>0.86924238849493007</v>
      </c>
      <c r="P310" s="8">
        <f t="shared" si="74"/>
        <v>2.0917666291117175E-4</v>
      </c>
      <c r="Q310" s="8">
        <f t="shared" si="75"/>
        <v>0.13054843484215875</v>
      </c>
    </row>
    <row r="311" spans="4:17" x14ac:dyDescent="0.3">
      <c r="D311" s="63" t="s">
        <v>531</v>
      </c>
      <c r="E311" s="14"/>
      <c r="F311" s="44">
        <f>F238</f>
        <v>904.7</v>
      </c>
      <c r="G311" s="44"/>
      <c r="H311" s="44"/>
      <c r="I311" s="44"/>
      <c r="J311" s="423"/>
      <c r="K311" s="44">
        <f>K238</f>
        <v>904.7</v>
      </c>
      <c r="L311" s="44">
        <f>L238</f>
        <v>0</v>
      </c>
      <c r="M311" s="44">
        <f>M238</f>
        <v>0</v>
      </c>
      <c r="N311" s="44"/>
      <c r="O311" s="8">
        <f t="shared" si="73"/>
        <v>1</v>
      </c>
      <c r="P311" s="8">
        <f t="shared" si="74"/>
        <v>0</v>
      </c>
      <c r="Q311" s="8">
        <f t="shared" si="75"/>
        <v>0</v>
      </c>
    </row>
    <row r="312" spans="4:17" x14ac:dyDescent="0.3">
      <c r="D312" s="63" t="s">
        <v>530</v>
      </c>
      <c r="E312" s="14"/>
      <c r="F312" s="44">
        <f>F241</f>
        <v>697.4</v>
      </c>
      <c r="G312" s="44"/>
      <c r="H312" s="44"/>
      <c r="I312" s="44"/>
      <c r="J312" s="423"/>
      <c r="K312" s="44">
        <f t="shared" ref="K312:M313" si="79">K241</f>
        <v>697.4</v>
      </c>
      <c r="L312" s="44">
        <f t="shared" si="79"/>
        <v>0</v>
      </c>
      <c r="M312" s="44">
        <f t="shared" si="79"/>
        <v>0</v>
      </c>
      <c r="N312" s="44"/>
      <c r="O312" s="8">
        <f t="shared" si="73"/>
        <v>1</v>
      </c>
      <c r="P312" s="8">
        <f t="shared" si="74"/>
        <v>0</v>
      </c>
      <c r="Q312" s="8">
        <f t="shared" si="75"/>
        <v>0</v>
      </c>
    </row>
    <row r="313" spans="4:17" x14ac:dyDescent="0.3">
      <c r="D313" s="63" t="s">
        <v>986</v>
      </c>
      <c r="E313" s="14"/>
      <c r="F313" s="44">
        <f>F242</f>
        <v>67.855599999999995</v>
      </c>
      <c r="G313" s="44"/>
      <c r="H313" s="44"/>
      <c r="I313" s="44"/>
      <c r="J313" s="423"/>
      <c r="K313" s="44">
        <f t="shared" si="79"/>
        <v>67.855599999999995</v>
      </c>
      <c r="L313" s="44">
        <f t="shared" si="79"/>
        <v>0</v>
      </c>
      <c r="M313" s="44">
        <f t="shared" si="79"/>
        <v>0</v>
      </c>
      <c r="N313" s="44"/>
      <c r="O313" s="8">
        <f t="shared" ref="O313" si="80">K313/$F313</f>
        <v>1</v>
      </c>
      <c r="P313" s="8">
        <f t="shared" ref="P313" si="81">L313/$F313</f>
        <v>0</v>
      </c>
      <c r="Q313" s="8">
        <f t="shared" ref="Q313" si="82">M313/$F313</f>
        <v>0</v>
      </c>
    </row>
    <row r="314" spans="4:17" x14ac:dyDescent="0.3">
      <c r="D314" s="11" t="s">
        <v>36</v>
      </c>
      <c r="E314" s="10"/>
      <c r="F314" s="113">
        <f>F243</f>
        <v>2152</v>
      </c>
      <c r="G314" s="113"/>
      <c r="H314" s="113"/>
      <c r="I314" s="113"/>
      <c r="J314" s="424"/>
      <c r="K314" s="113">
        <f t="shared" ref="K314:M314" si="83">K243</f>
        <v>833.95406316315598</v>
      </c>
      <c r="L314" s="113">
        <f t="shared" si="83"/>
        <v>80.982101877715394</v>
      </c>
      <c r="M314" s="113">
        <f t="shared" si="83"/>
        <v>1237.0638349591286</v>
      </c>
      <c r="N314" s="113"/>
      <c r="O314" s="8">
        <f t="shared" si="73"/>
        <v>0.38752512228771191</v>
      </c>
      <c r="P314" s="8">
        <f t="shared" si="74"/>
        <v>3.7631088233139126E-2</v>
      </c>
      <c r="Q314" s="8">
        <f t="shared" si="75"/>
        <v>0.57484378947914894</v>
      </c>
    </row>
    <row r="315" spans="4:17" x14ac:dyDescent="0.3">
      <c r="D315" s="11" t="s">
        <v>529</v>
      </c>
      <c r="E315" s="10"/>
      <c r="F315" s="113">
        <f>F281</f>
        <v>466</v>
      </c>
      <c r="G315" s="113"/>
      <c r="H315" s="113"/>
      <c r="I315" s="113"/>
      <c r="J315" s="424"/>
      <c r="K315" s="113">
        <f>K281</f>
        <v>0</v>
      </c>
      <c r="L315" s="113">
        <f>L281</f>
        <v>0</v>
      </c>
      <c r="M315" s="113">
        <f>M281</f>
        <v>466</v>
      </c>
      <c r="N315" s="113"/>
      <c r="O315" s="8">
        <f t="shared" si="73"/>
        <v>0</v>
      </c>
      <c r="P315" s="8">
        <f t="shared" si="74"/>
        <v>0</v>
      </c>
      <c r="Q315" s="8">
        <f t="shared" si="75"/>
        <v>1</v>
      </c>
    </row>
    <row r="316" spans="4:17" x14ac:dyDescent="0.3">
      <c r="D316" s="11" t="s">
        <v>454</v>
      </c>
      <c r="E316" s="10"/>
      <c r="F316" s="113">
        <f>F287</f>
        <v>313.5</v>
      </c>
      <c r="G316" s="113"/>
      <c r="H316" s="113"/>
      <c r="I316" s="113"/>
      <c r="J316" s="424"/>
      <c r="K316" s="113">
        <f>K287</f>
        <v>240.77384770743137</v>
      </c>
      <c r="L316" s="113">
        <f>L287</f>
        <v>2.0754535794288493</v>
      </c>
      <c r="M316" s="113">
        <f>M287</f>
        <v>70.650698713139803</v>
      </c>
      <c r="N316" s="113"/>
      <c r="O316" s="8">
        <f t="shared" si="73"/>
        <v>0.76801865297426275</v>
      </c>
      <c r="P316" s="8">
        <f t="shared" si="74"/>
        <v>6.6202666010489611E-3</v>
      </c>
      <c r="Q316" s="8">
        <f t="shared" si="75"/>
        <v>0.22536108042468836</v>
      </c>
    </row>
    <row r="317" spans="4:17" x14ac:dyDescent="0.3">
      <c r="D317" s="11" t="s">
        <v>528</v>
      </c>
      <c r="E317" s="10"/>
      <c r="F317" s="113">
        <f>F284</f>
        <v>8912</v>
      </c>
      <c r="G317" s="113"/>
      <c r="H317" s="113"/>
      <c r="I317" s="113"/>
      <c r="J317" s="424"/>
      <c r="K317" s="113">
        <f>K284</f>
        <v>8912</v>
      </c>
      <c r="L317" s="113">
        <f>L284</f>
        <v>0</v>
      </c>
      <c r="M317" s="113">
        <f>M284</f>
        <v>0</v>
      </c>
      <c r="N317" s="113"/>
      <c r="O317" s="8">
        <f t="shared" si="73"/>
        <v>1</v>
      </c>
      <c r="P317" s="8">
        <f t="shared" si="74"/>
        <v>0</v>
      </c>
      <c r="Q317" s="8">
        <f t="shared" si="75"/>
        <v>0</v>
      </c>
    </row>
    <row r="318" spans="4:17" x14ac:dyDescent="0.3">
      <c r="D318" s="11" t="s">
        <v>527</v>
      </c>
      <c r="E318" s="10"/>
      <c r="F318" s="113">
        <f>(F289-F285)</f>
        <v>4891.1000000000004</v>
      </c>
      <c r="G318" s="113"/>
      <c r="H318" s="113"/>
      <c r="I318" s="113"/>
      <c r="J318" s="424"/>
      <c r="K318" s="113">
        <f>(K289-K285)</f>
        <v>4891.1000000000004</v>
      </c>
      <c r="L318" s="113">
        <f>(L289-L285)</f>
        <v>0</v>
      </c>
      <c r="M318" s="113">
        <f>(M289-M285)</f>
        <v>0</v>
      </c>
      <c r="N318" s="113"/>
      <c r="O318" s="8">
        <f t="shared" si="73"/>
        <v>1</v>
      </c>
      <c r="P318" s="8">
        <f t="shared" si="74"/>
        <v>0</v>
      </c>
      <c r="Q318" s="8">
        <f t="shared" si="75"/>
        <v>0</v>
      </c>
    </row>
    <row r="319" spans="4:17" x14ac:dyDescent="0.3">
      <c r="D319" s="112" t="s">
        <v>0</v>
      </c>
      <c r="E319" s="111"/>
      <c r="F319" s="110">
        <f>F302+F307+F314+F315+F316+F317+F318</f>
        <v>31429.965600000003</v>
      </c>
      <c r="G319" s="110"/>
      <c r="H319" s="110"/>
      <c r="I319" s="110"/>
      <c r="J319" s="425"/>
      <c r="K319" s="110">
        <f>K302+K307+K314+K315+K316+K317+K318</f>
        <v>22646.526671377884</v>
      </c>
      <c r="L319" s="110">
        <f>L302+L307+L314+L315+L316+L317+L318</f>
        <v>517.11211432773246</v>
      </c>
      <c r="M319" s="110">
        <f>M302+M307+M314+M315+M316+M317+M318</f>
        <v>8265.1589424117228</v>
      </c>
      <c r="N319" s="110"/>
      <c r="O319" s="109">
        <f t="shared" si="73"/>
        <v>0.72053934005508047</v>
      </c>
      <c r="P319" s="109">
        <f t="shared" si="74"/>
        <v>1.6452837426195986E-2</v>
      </c>
      <c r="Q319" s="109">
        <f t="shared" si="75"/>
        <v>0.26297066460714552</v>
      </c>
    </row>
    <row r="320" spans="4:17" x14ac:dyDescent="0.3">
      <c r="D320" s="63" t="s">
        <v>526</v>
      </c>
      <c r="E320" s="108"/>
      <c r="F320" s="107">
        <f>F319-F321-F322</f>
        <v>18776.687800000003</v>
      </c>
      <c r="G320" s="355"/>
      <c r="H320" s="355"/>
      <c r="I320" s="356"/>
      <c r="J320" s="426"/>
      <c r="K320" s="107">
        <f>K319-K321-K322</f>
        <v>9993.2488713778839</v>
      </c>
      <c r="L320" s="107">
        <f>L319-L321-L322</f>
        <v>517.11211432773246</v>
      </c>
      <c r="M320" s="107">
        <f>M319-M321-M322</f>
        <v>8265.1589424117228</v>
      </c>
      <c r="N320" s="107"/>
      <c r="O320" s="106">
        <f t="shared" si="73"/>
        <v>0.53221574421543516</v>
      </c>
      <c r="P320" s="106">
        <f t="shared" si="74"/>
        <v>2.7540113561867519E-2</v>
      </c>
      <c r="Q320" s="106">
        <f t="shared" si="75"/>
        <v>0.44018194425172907</v>
      </c>
    </row>
    <row r="321" spans="2:22" x14ac:dyDescent="0.3">
      <c r="D321" s="63" t="s">
        <v>525</v>
      </c>
      <c r="E321" s="108"/>
      <c r="F321" s="107">
        <f>F308+F309+F311+F312+F232/1000</f>
        <v>3741.2777999999998</v>
      </c>
      <c r="G321" s="354"/>
      <c r="H321" s="354"/>
      <c r="I321" s="46"/>
      <c r="K321" s="107">
        <f>K308+K309+K311+K312+K232/1000</f>
        <v>3741.2777999999998</v>
      </c>
      <c r="L321" s="107">
        <f>L308+L309+L311+L312+L232/1000</f>
        <v>0</v>
      </c>
      <c r="M321" s="107">
        <f>M308+M309+M311+M312+M232/1000</f>
        <v>0</v>
      </c>
      <c r="N321" s="107"/>
      <c r="O321" s="106">
        <f t="shared" si="73"/>
        <v>1</v>
      </c>
      <c r="P321" s="106">
        <f t="shared" si="74"/>
        <v>0</v>
      </c>
      <c r="Q321" s="106">
        <f t="shared" si="75"/>
        <v>0</v>
      </c>
    </row>
    <row r="322" spans="2:22" x14ac:dyDescent="0.3">
      <c r="D322" s="376" t="s">
        <v>524</v>
      </c>
      <c r="E322" s="105"/>
      <c r="F322" s="104">
        <f>F317</f>
        <v>8912</v>
      </c>
      <c r="G322" s="357"/>
      <c r="H322" s="357"/>
      <c r="I322" s="358"/>
      <c r="J322" s="427"/>
      <c r="K322" s="104">
        <f>K317</f>
        <v>8912</v>
      </c>
      <c r="L322" s="104">
        <f>L317</f>
        <v>0</v>
      </c>
      <c r="M322" s="104">
        <f>M317</f>
        <v>0</v>
      </c>
      <c r="N322" s="104"/>
      <c r="O322" s="103">
        <f t="shared" si="73"/>
        <v>1</v>
      </c>
      <c r="P322" s="103">
        <f t="shared" si="74"/>
        <v>0</v>
      </c>
      <c r="Q322" s="103">
        <f t="shared" si="75"/>
        <v>0</v>
      </c>
    </row>
    <row r="326" spans="2:22" x14ac:dyDescent="0.3">
      <c r="B326" s="306">
        <v>3</v>
      </c>
      <c r="C326" s="87" t="s">
        <v>1</v>
      </c>
      <c r="D326" s="307" t="s">
        <v>954</v>
      </c>
      <c r="E326" s="308"/>
      <c r="F326" s="309"/>
      <c r="G326" s="308"/>
      <c r="H326" s="308"/>
      <c r="I326" s="309"/>
      <c r="J326" s="413"/>
      <c r="K326" s="309"/>
      <c r="L326" s="309"/>
      <c r="M326" s="309"/>
      <c r="N326" s="309"/>
      <c r="O326" s="308"/>
      <c r="P326" s="308"/>
      <c r="Q326" s="308"/>
      <c r="R326" s="308"/>
      <c r="S326" s="308"/>
      <c r="T326" s="308"/>
      <c r="U326" s="308"/>
      <c r="V326" s="308"/>
    </row>
    <row r="328" spans="2:22" s="310" customFormat="1" ht="47.25" x14ac:dyDescent="0.3">
      <c r="E328" s="311" t="s">
        <v>464</v>
      </c>
      <c r="F328" s="365" t="s">
        <v>993</v>
      </c>
      <c r="G328" s="311" t="s">
        <v>994</v>
      </c>
      <c r="H328" s="365" t="s">
        <v>995</v>
      </c>
      <c r="I328" s="312" t="s">
        <v>953</v>
      </c>
      <c r="J328" s="428"/>
      <c r="K328" s="366" t="s">
        <v>960</v>
      </c>
      <c r="L328" s="366" t="s">
        <v>961</v>
      </c>
      <c r="M328" s="367"/>
      <c r="N328" s="367"/>
    </row>
    <row r="329" spans="2:22" x14ac:dyDescent="0.3">
      <c r="D329" s="65" t="s">
        <v>6</v>
      </c>
      <c r="E329" s="315">
        <f>F302</f>
        <v>9076.0300000000007</v>
      </c>
      <c r="F329" s="315">
        <f>M302</f>
        <v>6255.0629687394548</v>
      </c>
      <c r="G329" s="114">
        <f t="shared" ref="G329:G336" si="84">+F329/E329</f>
        <v>0.68918491551255934</v>
      </c>
      <c r="H329" s="315">
        <f>L302</f>
        <v>433.67580687058819</v>
      </c>
      <c r="I329" s="114">
        <f t="shared" ref="I329:I336" si="85">H329/E329</f>
        <v>4.7782544446259893E-2</v>
      </c>
      <c r="J329" s="429"/>
      <c r="K329" s="364">
        <f>L302</f>
        <v>433.67580687058819</v>
      </c>
      <c r="L329" s="192">
        <f t="shared" ref="L329:L336" si="86">K329/E329</f>
        <v>4.7782544446259893E-2</v>
      </c>
    </row>
    <row r="330" spans="2:22" x14ac:dyDescent="0.3">
      <c r="D330" s="42" t="s">
        <v>4</v>
      </c>
      <c r="E330" s="315">
        <f>F307</f>
        <v>5619.3355999999994</v>
      </c>
      <c r="F330" s="315">
        <f>M307</f>
        <v>236.38144</v>
      </c>
      <c r="G330" s="114">
        <f t="shared" si="84"/>
        <v>4.206572748564795E-2</v>
      </c>
      <c r="H330" s="315">
        <f>L307</f>
        <v>0.37875200000000042</v>
      </c>
      <c r="I330" s="114">
        <f t="shared" si="85"/>
        <v>6.7401562561951355E-5</v>
      </c>
      <c r="J330" s="429"/>
      <c r="K330" s="364">
        <f>L307</f>
        <v>0.37875200000000042</v>
      </c>
      <c r="L330" s="192">
        <f t="shared" si="86"/>
        <v>6.7401562561951355E-5</v>
      </c>
    </row>
    <row r="331" spans="2:22" x14ac:dyDescent="0.3">
      <c r="D331" s="42" t="s">
        <v>36</v>
      </c>
      <c r="E331" s="315">
        <f>F314</f>
        <v>2152</v>
      </c>
      <c r="F331" s="315">
        <f>M314</f>
        <v>1237.0638349591286</v>
      </c>
      <c r="G331" s="114">
        <f t="shared" si="84"/>
        <v>0.57484378947914894</v>
      </c>
      <c r="H331" s="315">
        <f>L314</f>
        <v>80.982101877715394</v>
      </c>
      <c r="I331" s="114">
        <f t="shared" si="85"/>
        <v>3.7631088233139126E-2</v>
      </c>
      <c r="J331" s="429"/>
      <c r="K331" s="364">
        <f>L314</f>
        <v>80.982101877715394</v>
      </c>
      <c r="L331" s="192">
        <f t="shared" si="86"/>
        <v>3.7631088233139126E-2</v>
      </c>
    </row>
    <row r="332" spans="2:22" x14ac:dyDescent="0.3">
      <c r="D332" s="42" t="s">
        <v>559</v>
      </c>
      <c r="E332" s="315">
        <f>F315</f>
        <v>466</v>
      </c>
      <c r="F332" s="315">
        <f>M315</f>
        <v>466</v>
      </c>
      <c r="G332" s="114">
        <f t="shared" si="84"/>
        <v>1</v>
      </c>
      <c r="H332" s="315">
        <f>L315</f>
        <v>0</v>
      </c>
      <c r="I332" s="114">
        <f t="shared" si="85"/>
        <v>0</v>
      </c>
      <c r="J332" s="429"/>
      <c r="K332" s="364">
        <f>L315</f>
        <v>0</v>
      </c>
      <c r="L332" s="192">
        <f t="shared" si="86"/>
        <v>0</v>
      </c>
    </row>
    <row r="333" spans="2:22" x14ac:dyDescent="0.3">
      <c r="D333" s="42" t="s">
        <v>454</v>
      </c>
      <c r="E333" s="315">
        <f>F316</f>
        <v>313.5</v>
      </c>
      <c r="F333" s="315">
        <f>M316</f>
        <v>70.650698713139803</v>
      </c>
      <c r="G333" s="114">
        <f t="shared" si="84"/>
        <v>0.22536108042468836</v>
      </c>
      <c r="H333" s="315">
        <f>L316</f>
        <v>2.0754535794288493</v>
      </c>
      <c r="I333" s="114">
        <f t="shared" si="85"/>
        <v>6.6202666010489611E-3</v>
      </c>
      <c r="J333" s="429"/>
      <c r="K333" s="364">
        <f>L316</f>
        <v>2.0754535794288493</v>
      </c>
      <c r="L333" s="192">
        <f t="shared" si="86"/>
        <v>6.6202666010489611E-3</v>
      </c>
    </row>
    <row r="334" spans="2:22" x14ac:dyDescent="0.3">
      <c r="D334" s="42" t="s">
        <v>453</v>
      </c>
      <c r="E334" s="315">
        <f>F317</f>
        <v>8912</v>
      </c>
      <c r="F334" s="315">
        <f>M317</f>
        <v>0</v>
      </c>
      <c r="G334" s="114">
        <f t="shared" si="84"/>
        <v>0</v>
      </c>
      <c r="H334" s="315">
        <f>L317</f>
        <v>0</v>
      </c>
      <c r="I334" s="114">
        <f t="shared" si="85"/>
        <v>0</v>
      </c>
      <c r="J334" s="429"/>
      <c r="K334" s="364">
        <f>L317</f>
        <v>0</v>
      </c>
      <c r="L334" s="192">
        <f t="shared" si="86"/>
        <v>0</v>
      </c>
    </row>
    <row r="335" spans="2:22" x14ac:dyDescent="0.3">
      <c r="D335" s="42" t="s">
        <v>452</v>
      </c>
      <c r="E335" s="315">
        <f>F318</f>
        <v>4891.1000000000004</v>
      </c>
      <c r="F335" s="315">
        <f>M318</f>
        <v>0</v>
      </c>
      <c r="G335" s="114">
        <f t="shared" si="84"/>
        <v>0</v>
      </c>
      <c r="H335" s="315">
        <f>L318</f>
        <v>0</v>
      </c>
      <c r="I335" s="114">
        <f t="shared" si="85"/>
        <v>0</v>
      </c>
      <c r="J335" s="429"/>
      <c r="K335" s="364">
        <f>L318</f>
        <v>0</v>
      </c>
      <c r="L335" s="192">
        <f t="shared" si="86"/>
        <v>0</v>
      </c>
    </row>
    <row r="336" spans="2:22" x14ac:dyDescent="0.3">
      <c r="D336" s="112" t="s">
        <v>0</v>
      </c>
      <c r="E336" s="268">
        <f>SUM(E329:E335)</f>
        <v>31429.965600000003</v>
      </c>
      <c r="F336" s="268">
        <f>SUM(F329:F335)</f>
        <v>8265.1589424117228</v>
      </c>
      <c r="G336" s="267">
        <f t="shared" si="84"/>
        <v>0.26297066460714552</v>
      </c>
      <c r="H336" s="268">
        <f>SUM(H329:H335)</f>
        <v>517.11211432773246</v>
      </c>
      <c r="I336" s="267">
        <f t="shared" si="85"/>
        <v>1.6452837426195986E-2</v>
      </c>
      <c r="J336" s="430"/>
      <c r="K336" s="269">
        <f>SUM(K329:K335)</f>
        <v>517.11211432773246</v>
      </c>
      <c r="L336" s="270">
        <f t="shared" si="86"/>
        <v>1.6452837426195986E-2</v>
      </c>
    </row>
    <row r="337" spans="4:7" x14ac:dyDescent="0.3">
      <c r="D337" s="42"/>
      <c r="G337" s="114"/>
    </row>
  </sheetData>
  <hyperlinks>
    <hyperlink ref="D216" location="_ftn1" display="_ftn1" xr:uid="{15377DD5-650D-43C5-9CD0-19A929C4DC3D}"/>
    <hyperlink ref="D217" location="_ftn2" display="_ftn2" xr:uid="{5FF97C85-655E-47E7-9ECD-26B53B482DB3}"/>
    <hyperlink ref="D220" location="_ftn3" display="_ftn3" xr:uid="{BA0C9D8A-80C0-4F71-9439-8328FD24C1BA}"/>
    <hyperlink ref="D222" location="_ftn4" display="_ftn4" xr:uid="{77E1C4C9-CE73-4A7A-A260-52C59173C9F4}"/>
    <hyperlink ref="D232" location="_ftn5" display="_ftn5" xr:uid="{3ED6F1A9-41C4-4A58-B4EF-D271655B6DAC}"/>
    <hyperlink ref="D285" r:id="rId1" location="OLE_LINK20_x0009_1,72060,72083,0,,contributions et impôts" display="contributions et impôts" xr:uid="{3F65F1E0-076B-43CD-9286-B0BFA78B711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44010-FFBD-45E0-8F14-5FA92C382413}">
  <dimension ref="A2:X101"/>
  <sheetViews>
    <sheetView showGridLines="0" zoomScale="70" zoomScaleNormal="70" workbookViewId="0">
      <pane ySplit="6" topLeftCell="A7" activePane="bottomLeft" state="frozen"/>
      <selection pane="bottomLeft" activeCell="A7" sqref="A7"/>
    </sheetView>
  </sheetViews>
  <sheetFormatPr baseColWidth="10" defaultColWidth="11.5546875" defaultRowHeight="18" x14ac:dyDescent="0.35"/>
  <cols>
    <col min="1" max="1" width="3.21875" style="1" customWidth="1"/>
    <col min="2" max="2" width="6" style="1" customWidth="1"/>
    <col min="3" max="3" width="1.44140625" style="1" customWidth="1"/>
    <col min="4" max="4" width="90.6640625" style="1" customWidth="1"/>
    <col min="5" max="5" width="27.33203125" style="1" customWidth="1"/>
    <col min="6" max="6" width="21.77734375" style="1" customWidth="1"/>
    <col min="7" max="7" width="14.33203125" style="1" bestFit="1" customWidth="1"/>
    <col min="8" max="8" width="11.44140625" style="391" customWidth="1"/>
    <col min="9" max="9" width="29.88671875" style="1" bestFit="1" customWidth="1"/>
    <col min="10" max="10" width="12.109375" style="1" customWidth="1"/>
    <col min="11" max="11" width="75.33203125" style="1" customWidth="1"/>
    <col min="12" max="12" width="15.6640625" style="1" bestFit="1" customWidth="1"/>
    <col min="13" max="16384" width="11.5546875" style="1"/>
  </cols>
  <sheetData>
    <row r="2" spans="2:19" ht="21.75" x14ac:dyDescent="0.4">
      <c r="B2" s="27" t="s">
        <v>523</v>
      </c>
      <c r="C2" s="27"/>
      <c r="D2" s="26"/>
      <c r="E2" s="26"/>
      <c r="F2" s="26"/>
      <c r="G2" s="26"/>
      <c r="H2" s="390"/>
      <c r="I2" s="26"/>
      <c r="J2" s="26"/>
      <c r="K2" s="26"/>
      <c r="L2" s="26"/>
      <c r="M2" s="26"/>
      <c r="N2" s="26"/>
      <c r="O2" s="26"/>
      <c r="P2" s="26"/>
      <c r="Q2" s="26"/>
      <c r="R2" s="26"/>
      <c r="S2" s="26"/>
    </row>
    <row r="4" spans="2:19" x14ac:dyDescent="0.35">
      <c r="B4" s="23">
        <v>1</v>
      </c>
      <c r="D4" s="22" t="s">
        <v>92</v>
      </c>
      <c r="E4" s="21"/>
      <c r="F4" s="21"/>
      <c r="G4" s="21"/>
      <c r="H4" s="392"/>
      <c r="I4" s="21"/>
      <c r="J4" s="21"/>
      <c r="K4" s="21"/>
      <c r="L4" s="21"/>
      <c r="M4" s="21"/>
      <c r="N4" s="21"/>
      <c r="O4" s="21"/>
      <c r="P4" s="21"/>
      <c r="Q4" s="21"/>
      <c r="R4" s="21"/>
      <c r="S4" s="21"/>
    </row>
    <row r="5" spans="2:19" x14ac:dyDescent="0.35">
      <c r="H5" s="389">
        <f>COUNT(H7:H70)</f>
        <v>50</v>
      </c>
    </row>
    <row r="6" spans="2:19" ht="47.25" x14ac:dyDescent="0.35">
      <c r="D6" s="101" t="s">
        <v>91</v>
      </c>
      <c r="E6" s="101" t="s">
        <v>90</v>
      </c>
      <c r="F6" s="101" t="s">
        <v>87</v>
      </c>
      <c r="G6" s="163" t="s">
        <v>998</v>
      </c>
      <c r="H6" s="389">
        <f>SUM(H7:H70)</f>
        <v>3</v>
      </c>
      <c r="I6" s="102" t="s">
        <v>997</v>
      </c>
      <c r="K6" s="101"/>
    </row>
    <row r="7" spans="2:19" x14ac:dyDescent="0.35">
      <c r="D7" s="73" t="s">
        <v>462</v>
      </c>
      <c r="E7" s="73" t="s">
        <v>62</v>
      </c>
      <c r="F7" s="83">
        <f>F8+F10</f>
        <v>41030070.833333336</v>
      </c>
      <c r="G7" s="84"/>
      <c r="H7" s="393"/>
      <c r="I7" s="83">
        <f>I8+I10</f>
        <v>0</v>
      </c>
      <c r="J7" s="83">
        <f>J8+J10</f>
        <v>246180425</v>
      </c>
    </row>
    <row r="8" spans="2:19" x14ac:dyDescent="0.35">
      <c r="D8" s="97" t="s">
        <v>521</v>
      </c>
      <c r="E8" s="100" t="s">
        <v>62</v>
      </c>
      <c r="F8" s="96">
        <f>+F9</f>
        <v>135166.66666666666</v>
      </c>
      <c r="G8" s="99"/>
      <c r="H8" s="394"/>
      <c r="I8" s="96">
        <f>I9+I12+I13+I14</f>
        <v>0</v>
      </c>
      <c r="J8" s="98">
        <f>+J9</f>
        <v>811000</v>
      </c>
    </row>
    <row r="9" spans="2:19" x14ac:dyDescent="0.35">
      <c r="D9" s="63" t="s">
        <v>520</v>
      </c>
      <c r="E9" s="94" t="s">
        <v>62</v>
      </c>
      <c r="F9" s="68">
        <f>+J9/6</f>
        <v>135166.66666666666</v>
      </c>
      <c r="G9" s="69">
        <v>0</v>
      </c>
      <c r="H9" s="395">
        <f t="shared" ref="H9:H70" si="0">+IF(G9&lt;&gt;0, 1,0)</f>
        <v>0</v>
      </c>
      <c r="I9" s="68">
        <f>G9*F9</f>
        <v>0</v>
      </c>
      <c r="J9" s="93">
        <v>811000</v>
      </c>
      <c r="K9" s="93"/>
    </row>
    <row r="10" spans="2:19" x14ac:dyDescent="0.35">
      <c r="D10" s="97" t="s">
        <v>519</v>
      </c>
      <c r="E10" s="94" t="s">
        <v>62</v>
      </c>
      <c r="F10" s="96">
        <f>F11+F14+F15+F16</f>
        <v>40894904.166666672</v>
      </c>
      <c r="G10" s="95"/>
      <c r="H10" s="396">
        <f t="shared" si="0"/>
        <v>0</v>
      </c>
      <c r="I10" s="68">
        <f>I11+SUM(I14:I16)</f>
        <v>0</v>
      </c>
      <c r="J10" s="96">
        <f>J11+J14+J15+J16</f>
        <v>245369425</v>
      </c>
      <c r="K10" s="93"/>
    </row>
    <row r="11" spans="2:19" x14ac:dyDescent="0.35">
      <c r="D11" s="63" t="s">
        <v>518</v>
      </c>
      <c r="E11" s="94" t="s">
        <v>62</v>
      </c>
      <c r="F11" s="68">
        <v>25472756.166666668</v>
      </c>
      <c r="G11" s="95"/>
      <c r="H11" s="396">
        <f t="shared" si="0"/>
        <v>0</v>
      </c>
      <c r="I11" s="68">
        <f>I12+I13</f>
        <v>0</v>
      </c>
      <c r="J11" s="93">
        <f t="shared" ref="J11:J16" si="1">+F11*6</f>
        <v>152836537</v>
      </c>
      <c r="K11" s="93"/>
    </row>
    <row r="12" spans="2:19" x14ac:dyDescent="0.35">
      <c r="D12" s="63" t="s">
        <v>517</v>
      </c>
      <c r="E12" s="94" t="s">
        <v>62</v>
      </c>
      <c r="F12" s="68">
        <v>21417124.166666668</v>
      </c>
      <c r="G12" s="69">
        <v>0</v>
      </c>
      <c r="H12" s="395">
        <f t="shared" si="0"/>
        <v>0</v>
      </c>
      <c r="I12" s="68">
        <f>G12*F12</f>
        <v>0</v>
      </c>
      <c r="J12" s="93">
        <f t="shared" si="1"/>
        <v>128502745</v>
      </c>
      <c r="K12" s="93"/>
    </row>
    <row r="13" spans="2:19" x14ac:dyDescent="0.35">
      <c r="D13" s="63" t="s">
        <v>516</v>
      </c>
      <c r="E13" s="94" t="s">
        <v>62</v>
      </c>
      <c r="F13" s="68">
        <v>416666.83333333331</v>
      </c>
      <c r="G13" s="69">
        <v>0</v>
      </c>
      <c r="H13" s="395">
        <f t="shared" si="0"/>
        <v>0</v>
      </c>
      <c r="I13" s="68">
        <f>G13*F13</f>
        <v>0</v>
      </c>
      <c r="J13" s="93">
        <f t="shared" si="1"/>
        <v>2500001</v>
      </c>
      <c r="K13" s="93"/>
    </row>
    <row r="14" spans="2:19" x14ac:dyDescent="0.35">
      <c r="D14" s="63" t="s">
        <v>515</v>
      </c>
      <c r="E14" s="94" t="s">
        <v>62</v>
      </c>
      <c r="F14" s="68">
        <v>4690000</v>
      </c>
      <c r="G14" s="69">
        <v>0</v>
      </c>
      <c r="H14" s="395">
        <f t="shared" si="0"/>
        <v>0</v>
      </c>
      <c r="I14" s="68">
        <f>G14*F14</f>
        <v>0</v>
      </c>
      <c r="J14" s="93">
        <f t="shared" si="1"/>
        <v>28140000</v>
      </c>
      <c r="K14" s="93"/>
    </row>
    <row r="15" spans="2:19" x14ac:dyDescent="0.35">
      <c r="D15" s="80" t="s">
        <v>514</v>
      </c>
      <c r="E15" s="94" t="s">
        <v>62</v>
      </c>
      <c r="F15" s="68">
        <v>9607147.666666666</v>
      </c>
      <c r="G15" s="69">
        <v>0</v>
      </c>
      <c r="H15" s="395">
        <f t="shared" si="0"/>
        <v>0</v>
      </c>
      <c r="I15" s="68">
        <f>G15*F15</f>
        <v>0</v>
      </c>
      <c r="J15" s="93">
        <f t="shared" si="1"/>
        <v>57642886</v>
      </c>
      <c r="K15" s="93"/>
    </row>
    <row r="16" spans="2:19" x14ac:dyDescent="0.35">
      <c r="D16" s="63" t="s">
        <v>513</v>
      </c>
      <c r="E16" s="94" t="s">
        <v>62</v>
      </c>
      <c r="F16" s="68">
        <v>1125000.3333333333</v>
      </c>
      <c r="G16" s="69">
        <v>0</v>
      </c>
      <c r="H16" s="395">
        <f t="shared" si="0"/>
        <v>0</v>
      </c>
      <c r="I16" s="68">
        <f>G16*F16</f>
        <v>0</v>
      </c>
      <c r="J16" s="93">
        <f t="shared" si="1"/>
        <v>6750002</v>
      </c>
      <c r="K16" s="93"/>
    </row>
    <row r="17" spans="2:11" x14ac:dyDescent="0.35">
      <c r="B17" s="24" t="s">
        <v>484</v>
      </c>
      <c r="D17" s="73" t="s">
        <v>461</v>
      </c>
      <c r="E17" s="73" t="s">
        <v>4</v>
      </c>
      <c r="F17" s="83">
        <f>F18</f>
        <v>19285000</v>
      </c>
      <c r="G17" s="84"/>
      <c r="H17" s="393"/>
      <c r="I17" s="83">
        <f>I18</f>
        <v>0</v>
      </c>
    </row>
    <row r="18" spans="2:11" x14ac:dyDescent="0.35">
      <c r="D18" s="11" t="s">
        <v>512</v>
      </c>
      <c r="E18" s="42" t="s">
        <v>4</v>
      </c>
      <c r="F18" s="79">
        <f>F19</f>
        <v>19285000</v>
      </c>
      <c r="G18" s="87"/>
      <c r="H18" s="397">
        <f t="shared" si="0"/>
        <v>0</v>
      </c>
      <c r="I18" s="88">
        <f>I19</f>
        <v>0</v>
      </c>
    </row>
    <row r="19" spans="2:11" x14ac:dyDescent="0.35">
      <c r="D19" s="63" t="s">
        <v>509</v>
      </c>
      <c r="E19" s="42" t="s">
        <v>4</v>
      </c>
      <c r="F19" s="92">
        <v>19285000</v>
      </c>
      <c r="G19" s="69">
        <v>0</v>
      </c>
      <c r="H19" s="395">
        <f t="shared" si="0"/>
        <v>0</v>
      </c>
      <c r="I19" s="68">
        <f>G19*F19</f>
        <v>0</v>
      </c>
    </row>
    <row r="20" spans="2:11" x14ac:dyDescent="0.35">
      <c r="B20" s="24" t="s">
        <v>511</v>
      </c>
      <c r="D20" s="73" t="s">
        <v>460</v>
      </c>
      <c r="E20" s="73" t="s">
        <v>4</v>
      </c>
      <c r="F20" s="83">
        <f>F21</f>
        <v>2500000</v>
      </c>
      <c r="G20" s="84"/>
      <c r="H20" s="393"/>
      <c r="I20" s="83">
        <f>I21</f>
        <v>0</v>
      </c>
    </row>
    <row r="21" spans="2:11" x14ac:dyDescent="0.35">
      <c r="D21" s="11" t="s">
        <v>510</v>
      </c>
      <c r="E21" s="42" t="s">
        <v>4</v>
      </c>
      <c r="F21" s="79">
        <f>F22</f>
        <v>2500000</v>
      </c>
      <c r="G21" s="87"/>
      <c r="H21" s="397">
        <f t="shared" si="0"/>
        <v>0</v>
      </c>
      <c r="I21" s="88">
        <f>I22</f>
        <v>0</v>
      </c>
    </row>
    <row r="22" spans="2:11" x14ac:dyDescent="0.35">
      <c r="D22" s="63" t="s">
        <v>509</v>
      </c>
      <c r="E22" s="42" t="s">
        <v>4</v>
      </c>
      <c r="F22" s="85">
        <v>2500000</v>
      </c>
      <c r="G22" s="69">
        <v>0</v>
      </c>
      <c r="H22" s="395">
        <f t="shared" si="0"/>
        <v>0</v>
      </c>
      <c r="I22" s="68">
        <f>G22*F22</f>
        <v>0</v>
      </c>
    </row>
    <row r="23" spans="2:11" x14ac:dyDescent="0.35">
      <c r="B23" s="24" t="s">
        <v>487</v>
      </c>
      <c r="D23" s="73" t="s">
        <v>459</v>
      </c>
      <c r="E23" s="73" t="s">
        <v>4</v>
      </c>
      <c r="F23" s="83">
        <f>F24+F35</f>
        <v>661441416</v>
      </c>
      <c r="G23" s="84"/>
      <c r="H23" s="393"/>
      <c r="I23" s="83">
        <f>I24+I35</f>
        <v>9686400</v>
      </c>
    </row>
    <row r="24" spans="2:11" x14ac:dyDescent="0.35">
      <c r="D24" s="11" t="s">
        <v>508</v>
      </c>
      <c r="E24" s="42" t="s">
        <v>4</v>
      </c>
      <c r="F24" s="79">
        <f>SUM(F25:F31)+F34</f>
        <v>302441416</v>
      </c>
      <c r="G24" s="87"/>
      <c r="H24" s="397">
        <f t="shared" si="0"/>
        <v>0</v>
      </c>
      <c r="I24" s="86">
        <f>SUM(I25:I31)+I34</f>
        <v>2886400</v>
      </c>
    </row>
    <row r="25" spans="2:11" x14ac:dyDescent="0.35">
      <c r="D25" s="91" t="s">
        <v>507</v>
      </c>
      <c r="E25" s="42" t="s">
        <v>4</v>
      </c>
      <c r="F25" s="85">
        <v>278766</v>
      </c>
      <c r="G25" s="69">
        <v>0</v>
      </c>
      <c r="H25" s="395">
        <f t="shared" si="0"/>
        <v>0</v>
      </c>
      <c r="I25" s="68">
        <f t="shared" ref="I25:I30" si="2">G25*F25</f>
        <v>0</v>
      </c>
    </row>
    <row r="26" spans="2:11" x14ac:dyDescent="0.35">
      <c r="D26" s="63" t="s">
        <v>506</v>
      </c>
      <c r="E26" s="42" t="s">
        <v>4</v>
      </c>
      <c r="F26" s="85">
        <v>178473630</v>
      </c>
      <c r="G26" s="69">
        <v>0</v>
      </c>
      <c r="H26" s="395">
        <f t="shared" si="0"/>
        <v>0</v>
      </c>
      <c r="I26" s="68">
        <f t="shared" si="2"/>
        <v>0</v>
      </c>
    </row>
    <row r="27" spans="2:11" x14ac:dyDescent="0.35">
      <c r="D27" s="63" t="s">
        <v>505</v>
      </c>
      <c r="E27" s="42" t="s">
        <v>4</v>
      </c>
      <c r="F27" s="85">
        <v>17042255</v>
      </c>
      <c r="G27" s="69">
        <v>0</v>
      </c>
      <c r="H27" s="395">
        <f t="shared" si="0"/>
        <v>0</v>
      </c>
      <c r="I27" s="68">
        <f t="shared" si="2"/>
        <v>0</v>
      </c>
    </row>
    <row r="28" spans="2:11" x14ac:dyDescent="0.35">
      <c r="D28" s="63" t="s">
        <v>504</v>
      </c>
      <c r="E28" s="42" t="s">
        <v>4</v>
      </c>
      <c r="F28" s="85">
        <v>9400000</v>
      </c>
      <c r="G28" s="69">
        <v>0</v>
      </c>
      <c r="H28" s="395">
        <f t="shared" si="0"/>
        <v>0</v>
      </c>
      <c r="I28" s="68">
        <f t="shared" si="2"/>
        <v>0</v>
      </c>
    </row>
    <row r="29" spans="2:11" x14ac:dyDescent="0.35">
      <c r="D29" s="63" t="s">
        <v>503</v>
      </c>
      <c r="E29" s="42" t="s">
        <v>4</v>
      </c>
      <c r="F29" s="85">
        <v>49172243</v>
      </c>
      <c r="G29" s="69">
        <v>0</v>
      </c>
      <c r="H29" s="395">
        <f t="shared" si="0"/>
        <v>0</v>
      </c>
      <c r="I29" s="68">
        <f t="shared" si="2"/>
        <v>0</v>
      </c>
    </row>
    <row r="30" spans="2:11" x14ac:dyDescent="0.35">
      <c r="D30" s="63" t="s">
        <v>502</v>
      </c>
      <c r="E30" s="42" t="s">
        <v>4</v>
      </c>
      <c r="F30" s="85">
        <v>14432000</v>
      </c>
      <c r="G30" s="69">
        <v>0.2</v>
      </c>
      <c r="H30" s="395">
        <f t="shared" si="0"/>
        <v>1</v>
      </c>
      <c r="I30" s="76">
        <f t="shared" si="2"/>
        <v>2886400</v>
      </c>
      <c r="K30" s="67"/>
    </row>
    <row r="31" spans="2:11" x14ac:dyDescent="0.35">
      <c r="D31" s="63" t="s">
        <v>501</v>
      </c>
      <c r="E31" s="42" t="s">
        <v>4</v>
      </c>
      <c r="F31" s="85">
        <f>F32+F33</f>
        <v>7873883</v>
      </c>
      <c r="G31" s="82"/>
      <c r="H31" s="408">
        <f t="shared" si="0"/>
        <v>0</v>
      </c>
      <c r="I31" s="82">
        <f>I32+I33</f>
        <v>0</v>
      </c>
    </row>
    <row r="32" spans="2:11" x14ac:dyDescent="0.35">
      <c r="D32" s="63" t="s">
        <v>500</v>
      </c>
      <c r="E32" s="42" t="s">
        <v>4</v>
      </c>
      <c r="F32" s="85">
        <v>7064000</v>
      </c>
      <c r="G32" s="69">
        <v>0</v>
      </c>
      <c r="H32" s="395">
        <f t="shared" si="0"/>
        <v>0</v>
      </c>
      <c r="I32" s="68">
        <f>G32*F32</f>
        <v>0</v>
      </c>
    </row>
    <row r="33" spans="2:11" x14ac:dyDescent="0.35">
      <c r="D33" s="63" t="s">
        <v>499</v>
      </c>
      <c r="E33" s="42" t="s">
        <v>4</v>
      </c>
      <c r="F33" s="85">
        <v>809883</v>
      </c>
      <c r="G33" s="69">
        <v>0</v>
      </c>
      <c r="H33" s="395">
        <f t="shared" si="0"/>
        <v>0</v>
      </c>
      <c r="I33" s="68">
        <f>G33*F33</f>
        <v>0</v>
      </c>
    </row>
    <row r="34" spans="2:11" x14ac:dyDescent="0.35">
      <c r="D34" s="63" t="s">
        <v>498</v>
      </c>
      <c r="E34" s="42" t="s">
        <v>4</v>
      </c>
      <c r="F34" s="85">
        <v>25768639</v>
      </c>
      <c r="G34" s="69">
        <v>0</v>
      </c>
      <c r="H34" s="395">
        <f t="shared" si="0"/>
        <v>0</v>
      </c>
      <c r="I34" s="68">
        <f>G34*F34</f>
        <v>0</v>
      </c>
    </row>
    <row r="35" spans="2:11" x14ac:dyDescent="0.35">
      <c r="D35" s="11" t="s">
        <v>497</v>
      </c>
      <c r="E35" s="42" t="s">
        <v>4</v>
      </c>
      <c r="F35" s="85">
        <f>SUM(F36:F40)</f>
        <v>359000000</v>
      </c>
      <c r="G35" s="85"/>
      <c r="H35" s="398">
        <f t="shared" si="0"/>
        <v>0</v>
      </c>
      <c r="I35" s="90">
        <f>SUM(I36:I40)</f>
        <v>6800000</v>
      </c>
    </row>
    <row r="36" spans="2:11" x14ac:dyDescent="0.35">
      <c r="D36" s="63" t="s">
        <v>496</v>
      </c>
      <c r="E36" s="42" t="s">
        <v>4</v>
      </c>
      <c r="F36" s="85">
        <v>100000000</v>
      </c>
      <c r="G36" s="69">
        <v>0</v>
      </c>
      <c r="H36" s="395">
        <f t="shared" si="0"/>
        <v>0</v>
      </c>
      <c r="I36" s="68">
        <f>G36*F36</f>
        <v>0</v>
      </c>
    </row>
    <row r="37" spans="2:11" x14ac:dyDescent="0.35">
      <c r="D37" s="63" t="s">
        <v>495</v>
      </c>
      <c r="E37" s="42" t="s">
        <v>4</v>
      </c>
      <c r="F37" s="85">
        <v>200000000</v>
      </c>
      <c r="G37" s="69">
        <v>0</v>
      </c>
      <c r="H37" s="395">
        <f t="shared" si="0"/>
        <v>0</v>
      </c>
      <c r="I37" s="68">
        <f>G37*F37</f>
        <v>0</v>
      </c>
    </row>
    <row r="38" spans="2:11" x14ac:dyDescent="0.35">
      <c r="D38" s="63" t="s">
        <v>494</v>
      </c>
      <c r="E38" s="42" t="s">
        <v>4</v>
      </c>
      <c r="F38" s="85">
        <v>34000000</v>
      </c>
      <c r="G38" s="69">
        <v>0.2</v>
      </c>
      <c r="H38" s="395">
        <f t="shared" si="0"/>
        <v>1</v>
      </c>
      <c r="I38" s="76">
        <f>G38*F38</f>
        <v>6800000</v>
      </c>
      <c r="K38" s="67"/>
    </row>
    <row r="39" spans="2:11" x14ac:dyDescent="0.35">
      <c r="D39" s="63" t="s">
        <v>493</v>
      </c>
      <c r="E39" s="42" t="s">
        <v>4</v>
      </c>
      <c r="F39" s="85">
        <v>10000000</v>
      </c>
      <c r="G39" s="69">
        <v>0</v>
      </c>
      <c r="H39" s="395">
        <f t="shared" si="0"/>
        <v>0</v>
      </c>
      <c r="I39" s="68">
        <f>G39*F39</f>
        <v>0</v>
      </c>
    </row>
    <row r="40" spans="2:11" x14ac:dyDescent="0.35">
      <c r="D40" s="89" t="s">
        <v>492</v>
      </c>
      <c r="E40" s="42" t="s">
        <v>4</v>
      </c>
      <c r="F40" s="85">
        <v>15000000</v>
      </c>
      <c r="G40" s="69">
        <v>0</v>
      </c>
      <c r="H40" s="395">
        <f t="shared" si="0"/>
        <v>0</v>
      </c>
      <c r="I40" s="68">
        <f>G40*F40</f>
        <v>0</v>
      </c>
    </row>
    <row r="41" spans="2:11" x14ac:dyDescent="0.35">
      <c r="B41" s="24" t="s">
        <v>484</v>
      </c>
      <c r="D41" s="73" t="s">
        <v>458</v>
      </c>
      <c r="E41" s="73" t="s">
        <v>4</v>
      </c>
      <c r="F41" s="83">
        <f>F42</f>
        <v>400000</v>
      </c>
      <c r="G41" s="84"/>
      <c r="H41" s="393"/>
      <c r="I41" s="83">
        <f>I42</f>
        <v>0</v>
      </c>
    </row>
    <row r="42" spans="2:11" x14ac:dyDescent="0.35">
      <c r="D42" s="11" t="s">
        <v>491</v>
      </c>
      <c r="E42" s="42" t="s">
        <v>4</v>
      </c>
      <c r="F42" s="79">
        <f>F43</f>
        <v>400000</v>
      </c>
      <c r="G42" s="87"/>
      <c r="H42" s="397">
        <f t="shared" si="0"/>
        <v>0</v>
      </c>
      <c r="I42" s="88">
        <f>I43</f>
        <v>0</v>
      </c>
    </row>
    <row r="43" spans="2:11" x14ac:dyDescent="0.35">
      <c r="D43" s="63" t="s">
        <v>490</v>
      </c>
      <c r="E43" s="42" t="s">
        <v>4</v>
      </c>
      <c r="F43" s="85">
        <v>400000</v>
      </c>
      <c r="G43" s="69">
        <v>0</v>
      </c>
      <c r="H43" s="395">
        <f t="shared" si="0"/>
        <v>0</v>
      </c>
      <c r="I43" s="68">
        <f>G43*F43</f>
        <v>0</v>
      </c>
    </row>
    <row r="44" spans="2:11" x14ac:dyDescent="0.35">
      <c r="B44" s="24" t="s">
        <v>484</v>
      </c>
      <c r="D44" s="73" t="s">
        <v>457</v>
      </c>
      <c r="E44" s="73" t="s">
        <v>4</v>
      </c>
      <c r="F44" s="83">
        <f>F45</f>
        <v>4893002</v>
      </c>
      <c r="G44" s="84"/>
      <c r="H44" s="393"/>
      <c r="I44" s="83">
        <f>I45</f>
        <v>0</v>
      </c>
    </row>
    <row r="45" spans="2:11" x14ac:dyDescent="0.35">
      <c r="D45" s="11" t="s">
        <v>489</v>
      </c>
      <c r="E45" s="42" t="s">
        <v>4</v>
      </c>
      <c r="F45" s="79">
        <f>F46</f>
        <v>4893002</v>
      </c>
      <c r="G45" s="87"/>
      <c r="H45" s="397">
        <f t="shared" si="0"/>
        <v>0</v>
      </c>
      <c r="I45" s="86">
        <f>I46</f>
        <v>0</v>
      </c>
    </row>
    <row r="46" spans="2:11" x14ac:dyDescent="0.35">
      <c r="D46" s="63" t="s">
        <v>488</v>
      </c>
      <c r="E46" s="42" t="s">
        <v>4</v>
      </c>
      <c r="F46" s="85">
        <v>4893002</v>
      </c>
      <c r="G46" s="69">
        <v>0</v>
      </c>
      <c r="H46" s="395">
        <f t="shared" si="0"/>
        <v>0</v>
      </c>
      <c r="I46" s="68">
        <f>G46*F46</f>
        <v>0</v>
      </c>
    </row>
    <row r="47" spans="2:11" x14ac:dyDescent="0.35">
      <c r="B47" s="24" t="s">
        <v>487</v>
      </c>
      <c r="D47" s="73" t="s">
        <v>456</v>
      </c>
      <c r="E47" s="73" t="s">
        <v>4</v>
      </c>
      <c r="F47" s="83">
        <f>F48</f>
        <v>1170000</v>
      </c>
      <c r="G47" s="84"/>
      <c r="H47" s="393"/>
      <c r="I47" s="83">
        <f>I48</f>
        <v>0</v>
      </c>
    </row>
    <row r="48" spans="2:11" x14ac:dyDescent="0.35">
      <c r="D48" s="11" t="s">
        <v>486</v>
      </c>
      <c r="E48" s="42" t="s">
        <v>4</v>
      </c>
      <c r="F48" s="79">
        <f>F49</f>
        <v>1170000</v>
      </c>
      <c r="G48" s="74"/>
      <c r="H48" s="398">
        <f t="shared" si="0"/>
        <v>0</v>
      </c>
      <c r="I48" s="82">
        <f>I49</f>
        <v>0</v>
      </c>
    </row>
    <row r="49" spans="2:11" x14ac:dyDescent="0.35">
      <c r="D49" s="63" t="s">
        <v>485</v>
      </c>
      <c r="E49" s="42" t="s">
        <v>4</v>
      </c>
      <c r="F49" s="85">
        <v>1170000</v>
      </c>
      <c r="G49" s="69">
        <v>0</v>
      </c>
      <c r="H49" s="395">
        <f t="shared" si="0"/>
        <v>0</v>
      </c>
      <c r="I49" s="68">
        <f>G49*F49</f>
        <v>0</v>
      </c>
    </row>
    <row r="50" spans="2:11" x14ac:dyDescent="0.35">
      <c r="B50" s="24" t="s">
        <v>484</v>
      </c>
      <c r="D50" s="73" t="s">
        <v>483</v>
      </c>
      <c r="E50" s="73" t="s">
        <v>4</v>
      </c>
      <c r="F50" s="83">
        <f>F51</f>
        <v>75000000</v>
      </c>
      <c r="G50" s="84"/>
      <c r="H50" s="393"/>
      <c r="I50" s="83">
        <f>I51</f>
        <v>0</v>
      </c>
    </row>
    <row r="51" spans="2:11" x14ac:dyDescent="0.35">
      <c r="D51" s="11" t="s">
        <v>482</v>
      </c>
      <c r="E51" s="42" t="s">
        <v>4</v>
      </c>
      <c r="F51" s="79">
        <f>F52</f>
        <v>75000000</v>
      </c>
      <c r="G51" s="74"/>
      <c r="H51" s="398">
        <f t="shared" si="0"/>
        <v>0</v>
      </c>
      <c r="I51" s="82">
        <f>I52</f>
        <v>0</v>
      </c>
    </row>
    <row r="52" spans="2:11" x14ac:dyDescent="0.35">
      <c r="D52" s="63" t="s">
        <v>481</v>
      </c>
      <c r="E52" s="42" t="s">
        <v>4</v>
      </c>
      <c r="F52" s="78">
        <v>75000000</v>
      </c>
      <c r="G52" s="69">
        <v>0</v>
      </c>
      <c r="H52" s="395">
        <f t="shared" si="0"/>
        <v>0</v>
      </c>
      <c r="I52" s="76">
        <f>G52*F52</f>
        <v>0</v>
      </c>
      <c r="K52" s="67"/>
    </row>
    <row r="53" spans="2:11" x14ac:dyDescent="0.35">
      <c r="D53" s="73" t="s">
        <v>479</v>
      </c>
      <c r="E53" s="73" t="s">
        <v>479</v>
      </c>
      <c r="F53" s="72">
        <f>F54</f>
        <v>14310285.107142858</v>
      </c>
      <c r="G53" s="72"/>
      <c r="H53" s="399"/>
      <c r="I53" s="71">
        <f>I54</f>
        <v>0</v>
      </c>
    </row>
    <row r="54" spans="2:11" x14ac:dyDescent="0.35">
      <c r="D54" s="81" t="s">
        <v>480</v>
      </c>
      <c r="E54" s="42" t="s">
        <v>479</v>
      </c>
      <c r="F54" s="79">
        <v>14310285.107142858</v>
      </c>
      <c r="G54" s="69">
        <v>0</v>
      </c>
      <c r="H54" s="395">
        <f t="shared" si="0"/>
        <v>0</v>
      </c>
      <c r="I54" s="68">
        <f>G54*F54</f>
        <v>0</v>
      </c>
    </row>
    <row r="55" spans="2:11" x14ac:dyDescent="0.35">
      <c r="D55" s="73" t="s">
        <v>36</v>
      </c>
      <c r="E55" s="73" t="s">
        <v>36</v>
      </c>
      <c r="F55" s="72">
        <f>SUM(F56:F64)</f>
        <v>1375000000</v>
      </c>
      <c r="G55" s="72"/>
      <c r="H55" s="399"/>
      <c r="I55" s="71">
        <f>SUM(I56:I64)</f>
        <v>113000000</v>
      </c>
    </row>
    <row r="56" spans="2:11" x14ac:dyDescent="0.35">
      <c r="D56" s="80" t="s">
        <v>478</v>
      </c>
      <c r="E56" s="42" t="s">
        <v>36</v>
      </c>
      <c r="F56" s="79">
        <v>46000000</v>
      </c>
      <c r="G56" s="69">
        <v>0</v>
      </c>
      <c r="H56" s="395">
        <f t="shared" si="0"/>
        <v>0</v>
      </c>
      <c r="I56" s="68">
        <f t="shared" ref="I56:I64" si="3">G56*F56</f>
        <v>0</v>
      </c>
    </row>
    <row r="57" spans="2:11" x14ac:dyDescent="0.35">
      <c r="D57" s="80" t="s">
        <v>477</v>
      </c>
      <c r="E57" s="42" t="s">
        <v>36</v>
      </c>
      <c r="F57" s="79">
        <v>1000000</v>
      </c>
      <c r="G57" s="69">
        <v>0</v>
      </c>
      <c r="H57" s="395">
        <f t="shared" si="0"/>
        <v>0</v>
      </c>
      <c r="I57" s="68">
        <f t="shared" si="3"/>
        <v>0</v>
      </c>
    </row>
    <row r="58" spans="2:11" x14ac:dyDescent="0.35">
      <c r="D58" s="80" t="s">
        <v>476</v>
      </c>
      <c r="E58" s="42" t="s">
        <v>36</v>
      </c>
      <c r="F58" s="79">
        <v>4000000</v>
      </c>
      <c r="G58" s="69">
        <v>0</v>
      </c>
      <c r="H58" s="395">
        <f t="shared" si="0"/>
        <v>0</v>
      </c>
      <c r="I58" s="68">
        <f t="shared" si="3"/>
        <v>0</v>
      </c>
    </row>
    <row r="59" spans="2:11" x14ac:dyDescent="0.35">
      <c r="D59" s="80" t="s">
        <v>475</v>
      </c>
      <c r="E59" s="42" t="s">
        <v>36</v>
      </c>
      <c r="F59" s="79">
        <v>0</v>
      </c>
      <c r="G59" s="69">
        <v>0</v>
      </c>
      <c r="H59" s="395">
        <f t="shared" si="0"/>
        <v>0</v>
      </c>
      <c r="I59" s="68">
        <f t="shared" si="3"/>
        <v>0</v>
      </c>
    </row>
    <row r="60" spans="2:11" x14ac:dyDescent="0.35">
      <c r="D60" s="80" t="s">
        <v>474</v>
      </c>
      <c r="E60" s="42" t="s">
        <v>36</v>
      </c>
      <c r="F60" s="79">
        <v>50000000</v>
      </c>
      <c r="G60" s="69">
        <v>0</v>
      </c>
      <c r="H60" s="395">
        <f t="shared" si="0"/>
        <v>0</v>
      </c>
      <c r="I60" s="68">
        <f t="shared" si="3"/>
        <v>0</v>
      </c>
    </row>
    <row r="61" spans="2:11" x14ac:dyDescent="0.35">
      <c r="D61" s="63" t="s">
        <v>473</v>
      </c>
      <c r="E61" s="42" t="s">
        <v>36</v>
      </c>
      <c r="F61" s="79">
        <v>20000000</v>
      </c>
      <c r="G61" s="69">
        <v>0</v>
      </c>
      <c r="H61" s="395">
        <f t="shared" si="0"/>
        <v>0</v>
      </c>
      <c r="I61" s="68">
        <f t="shared" si="3"/>
        <v>0</v>
      </c>
    </row>
    <row r="62" spans="2:11" x14ac:dyDescent="0.35">
      <c r="D62" s="63" t="s">
        <v>472</v>
      </c>
      <c r="E62" s="42" t="s">
        <v>36</v>
      </c>
      <c r="F62" s="79">
        <v>113000000</v>
      </c>
      <c r="G62" s="69">
        <v>1</v>
      </c>
      <c r="H62" s="395">
        <f t="shared" si="0"/>
        <v>1</v>
      </c>
      <c r="I62" s="68">
        <f t="shared" si="3"/>
        <v>113000000</v>
      </c>
    </row>
    <row r="63" spans="2:11" ht="31.5" x14ac:dyDescent="0.35">
      <c r="D63" s="63" t="s">
        <v>471</v>
      </c>
      <c r="E63" s="42" t="s">
        <v>36</v>
      </c>
      <c r="F63" s="78">
        <v>1135000000</v>
      </c>
      <c r="G63" s="77">
        <v>0</v>
      </c>
      <c r="H63" s="400">
        <f t="shared" si="0"/>
        <v>0</v>
      </c>
      <c r="I63" s="76">
        <f t="shared" si="3"/>
        <v>0</v>
      </c>
      <c r="J63" s="1" t="s">
        <v>94</v>
      </c>
      <c r="K63" s="75"/>
    </row>
    <row r="64" spans="2:11" ht="31.5" x14ac:dyDescent="0.35">
      <c r="D64" s="63" t="s">
        <v>470</v>
      </c>
      <c r="E64" s="42" t="s">
        <v>36</v>
      </c>
      <c r="F64" s="78">
        <v>6000000</v>
      </c>
      <c r="G64" s="77">
        <v>0</v>
      </c>
      <c r="H64" s="400">
        <f t="shared" si="0"/>
        <v>0</v>
      </c>
      <c r="I64" s="76">
        <f t="shared" si="3"/>
        <v>0</v>
      </c>
      <c r="K64" s="75"/>
    </row>
    <row r="65" spans="1:19" x14ac:dyDescent="0.35">
      <c r="D65" s="73" t="s">
        <v>469</v>
      </c>
      <c r="E65" s="73" t="s">
        <v>467</v>
      </c>
      <c r="F65" s="72">
        <f>F66</f>
        <v>75000000</v>
      </c>
      <c r="G65" s="72"/>
      <c r="H65" s="399"/>
      <c r="I65" s="71">
        <f>I66</f>
        <v>0</v>
      </c>
    </row>
    <row r="66" spans="1:19" x14ac:dyDescent="0.35">
      <c r="D66" s="63" t="s">
        <v>468</v>
      </c>
      <c r="E66" s="42" t="s">
        <v>467</v>
      </c>
      <c r="F66" s="70">
        <v>75000000</v>
      </c>
      <c r="G66" s="69">
        <v>0</v>
      </c>
      <c r="H66" s="395">
        <f t="shared" si="0"/>
        <v>0</v>
      </c>
      <c r="I66" s="68">
        <f>G66*F66</f>
        <v>0</v>
      </c>
    </row>
    <row r="67" spans="1:19" x14ac:dyDescent="0.35">
      <c r="D67" s="73" t="s">
        <v>455</v>
      </c>
      <c r="E67" s="73" t="s">
        <v>455</v>
      </c>
      <c r="F67" s="72">
        <f>F68</f>
        <v>13070000</v>
      </c>
      <c r="G67" s="72"/>
      <c r="H67" s="399"/>
      <c r="I67" s="71">
        <f>I68</f>
        <v>0</v>
      </c>
    </row>
    <row r="68" spans="1:19" x14ac:dyDescent="0.35">
      <c r="D68" s="63" t="s">
        <v>466</v>
      </c>
      <c r="E68" s="42" t="s">
        <v>455</v>
      </c>
      <c r="F68" s="74">
        <v>13070000</v>
      </c>
      <c r="G68" s="69">
        <v>0</v>
      </c>
      <c r="H68" s="395">
        <f t="shared" si="0"/>
        <v>0</v>
      </c>
      <c r="I68" s="68">
        <f>G68*F68</f>
        <v>0</v>
      </c>
    </row>
    <row r="69" spans="1:19" x14ac:dyDescent="0.35">
      <c r="D69" s="73" t="s">
        <v>452</v>
      </c>
      <c r="E69" s="73" t="s">
        <v>452</v>
      </c>
      <c r="F69" s="72">
        <f>F70</f>
        <v>10000000</v>
      </c>
      <c r="G69" s="72"/>
      <c r="H69" s="399"/>
      <c r="I69" s="71">
        <f>I70</f>
        <v>0</v>
      </c>
    </row>
    <row r="70" spans="1:19" x14ac:dyDescent="0.35">
      <c r="D70" s="63" t="s">
        <v>465</v>
      </c>
      <c r="E70" s="42" t="s">
        <v>452</v>
      </c>
      <c r="F70" s="70">
        <v>10000000</v>
      </c>
      <c r="G70" s="69">
        <v>0</v>
      </c>
      <c r="H70" s="395">
        <f t="shared" si="0"/>
        <v>0</v>
      </c>
      <c r="I70" s="68">
        <f>G70*F70</f>
        <v>0</v>
      </c>
      <c r="K70" s="67"/>
    </row>
    <row r="72" spans="1:19" x14ac:dyDescent="0.35">
      <c r="A72" s="1" t="s">
        <v>1</v>
      </c>
      <c r="B72" s="23">
        <v>2</v>
      </c>
      <c r="C72" s="1" t="s">
        <v>1</v>
      </c>
      <c r="D72" s="22" t="s">
        <v>15</v>
      </c>
      <c r="E72" s="21"/>
      <c r="F72" s="21"/>
      <c r="G72" s="21"/>
      <c r="H72" s="392"/>
      <c r="I72" s="21"/>
      <c r="J72" s="21"/>
      <c r="K72" s="21"/>
      <c r="L72" s="21"/>
      <c r="M72" s="21"/>
      <c r="N72" s="21"/>
      <c r="O72" s="21"/>
      <c r="P72" s="21"/>
      <c r="Q72" s="21"/>
      <c r="R72" s="21"/>
      <c r="S72" s="21"/>
    </row>
    <row r="73" spans="1:19" x14ac:dyDescent="0.35">
      <c r="F73" s="1" t="s">
        <v>464</v>
      </c>
      <c r="G73" s="66"/>
      <c r="H73" s="401"/>
      <c r="I73" s="1" t="s">
        <v>463</v>
      </c>
      <c r="J73" s="1" t="s">
        <v>13</v>
      </c>
    </row>
    <row r="74" spans="1:19" s="24" customFormat="1" x14ac:dyDescent="0.35">
      <c r="D74" s="18" t="s">
        <v>6</v>
      </c>
      <c r="E74" s="17"/>
      <c r="F74" s="16">
        <f>F75</f>
        <v>41.030070833333333</v>
      </c>
      <c r="G74" s="16"/>
      <c r="H74" s="402"/>
      <c r="I74" s="16">
        <f>I75</f>
        <v>0</v>
      </c>
      <c r="J74" s="49">
        <f t="shared" ref="J74:J89" si="4">I74/F74</f>
        <v>0</v>
      </c>
    </row>
    <row r="75" spans="1:19" x14ac:dyDescent="0.35">
      <c r="D75" s="15" t="s">
        <v>462</v>
      </c>
      <c r="E75" s="14"/>
      <c r="F75" s="62">
        <f>F7/1000000</f>
        <v>41.030070833333333</v>
      </c>
      <c r="G75" s="62"/>
      <c r="H75" s="409"/>
      <c r="I75" s="62">
        <f>I7/1000000</f>
        <v>0</v>
      </c>
      <c r="J75" s="8">
        <f t="shared" si="4"/>
        <v>0</v>
      </c>
    </row>
    <row r="76" spans="1:19" s="24" customFormat="1" x14ac:dyDescent="0.35">
      <c r="D76" s="11" t="s">
        <v>4</v>
      </c>
      <c r="E76" s="10"/>
      <c r="F76" s="7">
        <f>SUM(F77:F83)</f>
        <v>764.68941799999993</v>
      </c>
      <c r="G76" s="7"/>
      <c r="H76" s="403"/>
      <c r="I76" s="7">
        <f>SUM(I77:I82)</f>
        <v>9.6864000000000008</v>
      </c>
      <c r="J76" s="45">
        <f t="shared" si="4"/>
        <v>1.2667103495866607E-2</v>
      </c>
    </row>
    <row r="77" spans="1:19" x14ac:dyDescent="0.35">
      <c r="D77" s="63" t="s">
        <v>461</v>
      </c>
      <c r="E77" s="14"/>
      <c r="F77" s="62">
        <f>F17/1000000</f>
        <v>19.285</v>
      </c>
      <c r="G77" s="62"/>
      <c r="H77" s="409"/>
      <c r="I77" s="62">
        <f>I17/1000000</f>
        <v>0</v>
      </c>
      <c r="J77" s="8">
        <f t="shared" si="4"/>
        <v>0</v>
      </c>
    </row>
    <row r="78" spans="1:19" x14ac:dyDescent="0.35">
      <c r="D78" s="63" t="s">
        <v>460</v>
      </c>
      <c r="E78" s="14"/>
      <c r="F78" s="62">
        <f>F20/1000000</f>
        <v>2.5</v>
      </c>
      <c r="G78" s="62"/>
      <c r="H78" s="409"/>
      <c r="I78" s="62">
        <f>I20/1000000</f>
        <v>0</v>
      </c>
      <c r="J78" s="8">
        <f t="shared" si="4"/>
        <v>0</v>
      </c>
    </row>
    <row r="79" spans="1:19" x14ac:dyDescent="0.35">
      <c r="D79" s="63" t="s">
        <v>459</v>
      </c>
      <c r="E79" s="14"/>
      <c r="F79" s="62">
        <f>F23/1000000</f>
        <v>661.441416</v>
      </c>
      <c r="G79" s="62"/>
      <c r="H79" s="409"/>
      <c r="I79" s="62">
        <f>I23/1000000</f>
        <v>9.6864000000000008</v>
      </c>
      <c r="J79" s="8">
        <f t="shared" si="4"/>
        <v>1.464438084112955E-2</v>
      </c>
    </row>
    <row r="80" spans="1:19" x14ac:dyDescent="0.35">
      <c r="D80" s="63" t="s">
        <v>458</v>
      </c>
      <c r="E80" s="14"/>
      <c r="F80" s="62">
        <f>F41/1000000</f>
        <v>0.4</v>
      </c>
      <c r="G80" s="62"/>
      <c r="H80" s="409"/>
      <c r="I80" s="62">
        <f>I41/1000000</f>
        <v>0</v>
      </c>
      <c r="J80" s="8">
        <f t="shared" si="4"/>
        <v>0</v>
      </c>
    </row>
    <row r="81" spans="1:24" x14ac:dyDescent="0.35">
      <c r="D81" s="63" t="s">
        <v>457</v>
      </c>
      <c r="E81" s="14"/>
      <c r="F81" s="62">
        <f>F44/1000000</f>
        <v>4.8930020000000001</v>
      </c>
      <c r="G81" s="62"/>
      <c r="H81" s="409"/>
      <c r="I81" s="62">
        <f>I44/1000000</f>
        <v>0</v>
      </c>
      <c r="J81" s="8">
        <f t="shared" si="4"/>
        <v>0</v>
      </c>
    </row>
    <row r="82" spans="1:24" x14ac:dyDescent="0.35">
      <c r="D82" s="63" t="s">
        <v>456</v>
      </c>
      <c r="E82" s="14"/>
      <c r="F82" s="62">
        <f>F47/1000000</f>
        <v>1.17</v>
      </c>
      <c r="G82" s="62"/>
      <c r="H82" s="409"/>
      <c r="I82" s="62">
        <f>I47/1000000</f>
        <v>0</v>
      </c>
      <c r="J82" s="8">
        <f t="shared" si="4"/>
        <v>0</v>
      </c>
    </row>
    <row r="83" spans="1:24" x14ac:dyDescent="0.35">
      <c r="D83" s="63" t="s">
        <v>988</v>
      </c>
      <c r="E83" s="14"/>
      <c r="F83" s="62">
        <f>F50/1000000</f>
        <v>75</v>
      </c>
      <c r="G83" s="62"/>
      <c r="H83" s="409"/>
      <c r="I83" s="62"/>
      <c r="J83" s="8"/>
    </row>
    <row r="84" spans="1:24" s="24" customFormat="1" x14ac:dyDescent="0.35">
      <c r="D84" s="11" t="s">
        <v>36</v>
      </c>
      <c r="E84" s="10"/>
      <c r="F84" s="7">
        <f>F55/1000000</f>
        <v>1375</v>
      </c>
      <c r="G84" s="7"/>
      <c r="H84" s="403"/>
      <c r="I84" s="7">
        <f>I55/1000000</f>
        <v>113</v>
      </c>
      <c r="J84" s="45">
        <f t="shared" si="4"/>
        <v>8.2181818181818175E-2</v>
      </c>
    </row>
    <row r="85" spans="1:24" s="24" customFormat="1" x14ac:dyDescent="0.35">
      <c r="D85" s="11" t="s">
        <v>455</v>
      </c>
      <c r="E85" s="10"/>
      <c r="F85" s="7">
        <f>F67/1000000</f>
        <v>13.07</v>
      </c>
      <c r="G85" s="7"/>
      <c r="H85" s="403"/>
      <c r="I85" s="7">
        <f>I67/1000000</f>
        <v>0</v>
      </c>
      <c r="J85" s="45">
        <f t="shared" si="4"/>
        <v>0</v>
      </c>
    </row>
    <row r="86" spans="1:24" s="24" customFormat="1" x14ac:dyDescent="0.35">
      <c r="D86" s="11" t="s">
        <v>454</v>
      </c>
      <c r="E86" s="10"/>
      <c r="F86" s="7">
        <f>F53/1000000</f>
        <v>14.310285107142859</v>
      </c>
      <c r="G86" s="7"/>
      <c r="H86" s="403"/>
      <c r="I86" s="7">
        <f>I53/1000000</f>
        <v>0</v>
      </c>
      <c r="J86" s="45">
        <f t="shared" si="4"/>
        <v>0</v>
      </c>
    </row>
    <row r="87" spans="1:24" s="24" customFormat="1" x14ac:dyDescent="0.35">
      <c r="D87" s="11" t="s">
        <v>453</v>
      </c>
      <c r="E87" s="10"/>
      <c r="F87" s="7">
        <f>F65/1000000</f>
        <v>75</v>
      </c>
      <c r="G87" s="7"/>
      <c r="H87" s="403"/>
      <c r="I87" s="7">
        <f>I65/1000000</f>
        <v>0</v>
      </c>
      <c r="J87" s="45">
        <f t="shared" si="4"/>
        <v>0</v>
      </c>
    </row>
    <row r="88" spans="1:24" s="24" customFormat="1" x14ac:dyDescent="0.35">
      <c r="D88" s="11" t="s">
        <v>452</v>
      </c>
      <c r="F88" s="130">
        <f>F69/1000000</f>
        <v>10</v>
      </c>
      <c r="H88" s="404"/>
      <c r="I88" s="24">
        <f>I69/1000000</f>
        <v>0</v>
      </c>
      <c r="J88" s="45">
        <f t="shared" si="4"/>
        <v>0</v>
      </c>
    </row>
    <row r="89" spans="1:24" x14ac:dyDescent="0.35">
      <c r="A89" s="1" t="s">
        <v>1</v>
      </c>
      <c r="B89" s="1" t="s">
        <v>1</v>
      </c>
      <c r="C89" s="1" t="s">
        <v>1</v>
      </c>
      <c r="D89" s="6" t="s">
        <v>0</v>
      </c>
      <c r="E89" s="5"/>
      <c r="F89" s="2">
        <f>F74+F76+SUM(F84:F88)</f>
        <v>2293.0997739404761</v>
      </c>
      <c r="G89" s="2"/>
      <c r="H89" s="405"/>
      <c r="I89" s="2">
        <f>I74+I76+SUM(I84:I88)</f>
        <v>122.68640000000001</v>
      </c>
      <c r="J89" s="61">
        <f t="shared" si="4"/>
        <v>5.3502425578794151E-2</v>
      </c>
    </row>
    <row r="91" spans="1:24" x14ac:dyDescent="0.35">
      <c r="B91" s="23">
        <v>3</v>
      </c>
      <c r="C91" s="1" t="s">
        <v>1</v>
      </c>
      <c r="D91" s="22" t="s">
        <v>954</v>
      </c>
      <c r="E91" s="21"/>
      <c r="F91" s="52"/>
      <c r="G91" s="21"/>
      <c r="H91" s="392"/>
      <c r="I91" s="21"/>
      <c r="J91" s="52"/>
      <c r="K91" s="52"/>
      <c r="L91" s="52"/>
      <c r="M91" s="52"/>
      <c r="N91" s="52"/>
      <c r="O91" s="21"/>
      <c r="P91" s="21"/>
      <c r="Q91" s="21"/>
      <c r="R91" s="21"/>
      <c r="S91" s="21"/>
      <c r="T91" s="21"/>
      <c r="U91" s="21"/>
      <c r="V91" s="21"/>
      <c r="W91" s="21"/>
      <c r="X91" s="21"/>
    </row>
    <row r="93" spans="1:24" ht="31.5" x14ac:dyDescent="0.35">
      <c r="D93"/>
      <c r="E93" s="255" t="s">
        <v>464</v>
      </c>
      <c r="F93" s="365" t="s">
        <v>993</v>
      </c>
      <c r="G93" s="311" t="s">
        <v>994</v>
      </c>
      <c r="H93" s="406"/>
      <c r="I93" s="365" t="s">
        <v>995</v>
      </c>
      <c r="J93" s="312" t="s">
        <v>953</v>
      </c>
    </row>
    <row r="94" spans="1:24" x14ac:dyDescent="0.35">
      <c r="D94" s="65" t="s">
        <v>6</v>
      </c>
      <c r="E94" s="435">
        <f>F74</f>
        <v>41.030070833333333</v>
      </c>
      <c r="F94" s="435">
        <f>I74</f>
        <v>0</v>
      </c>
      <c r="G94" s="274">
        <f>F94/E94</f>
        <v>0</v>
      </c>
      <c r="H94" s="410"/>
      <c r="I94" s="275">
        <v>0</v>
      </c>
      <c r="J94" s="276">
        <v>0</v>
      </c>
    </row>
    <row r="95" spans="1:24" x14ac:dyDescent="0.35">
      <c r="D95" s="42" t="s">
        <v>4</v>
      </c>
      <c r="E95" s="435">
        <f>F76</f>
        <v>764.68941799999993</v>
      </c>
      <c r="F95" s="435">
        <f>I76</f>
        <v>9.6864000000000008</v>
      </c>
      <c r="G95" s="274">
        <f t="shared" ref="G95:G101" si="5">F95/E95</f>
        <v>1.2667103495866607E-2</v>
      </c>
      <c r="H95" s="410"/>
      <c r="I95" s="275">
        <v>0</v>
      </c>
      <c r="J95" s="276">
        <v>0</v>
      </c>
    </row>
    <row r="96" spans="1:24" x14ac:dyDescent="0.35">
      <c r="D96" s="42" t="s">
        <v>36</v>
      </c>
      <c r="E96" s="435">
        <f t="shared" ref="E96:E101" si="6">F84</f>
        <v>1375</v>
      </c>
      <c r="F96" s="435">
        <f t="shared" ref="F96:F101" si="7">I84</f>
        <v>113</v>
      </c>
      <c r="G96" s="274">
        <f t="shared" si="5"/>
        <v>8.2181818181818175E-2</v>
      </c>
      <c r="H96" s="410"/>
      <c r="I96" s="275">
        <v>0</v>
      </c>
      <c r="J96" s="276">
        <v>0</v>
      </c>
    </row>
    <row r="97" spans="4:10" x14ac:dyDescent="0.35">
      <c r="D97" s="42" t="s">
        <v>455</v>
      </c>
      <c r="E97" s="435">
        <f t="shared" si="6"/>
        <v>13.07</v>
      </c>
      <c r="F97" s="435">
        <f t="shared" si="7"/>
        <v>0</v>
      </c>
      <c r="G97" s="274">
        <f t="shared" si="5"/>
        <v>0</v>
      </c>
      <c r="H97" s="410"/>
      <c r="I97" s="275">
        <v>0</v>
      </c>
      <c r="J97" s="276">
        <v>0</v>
      </c>
    </row>
    <row r="98" spans="4:10" x14ac:dyDescent="0.35">
      <c r="D98" s="42" t="s">
        <v>454</v>
      </c>
      <c r="E98" s="435">
        <f t="shared" si="6"/>
        <v>14.310285107142859</v>
      </c>
      <c r="F98" s="435">
        <f t="shared" si="7"/>
        <v>0</v>
      </c>
      <c r="G98" s="274">
        <f t="shared" si="5"/>
        <v>0</v>
      </c>
      <c r="H98" s="410"/>
      <c r="I98" s="275">
        <v>0</v>
      </c>
      <c r="J98" s="276">
        <v>0</v>
      </c>
    </row>
    <row r="99" spans="4:10" x14ac:dyDescent="0.35">
      <c r="D99" s="42" t="s">
        <v>453</v>
      </c>
      <c r="E99" s="435">
        <f t="shared" si="6"/>
        <v>75</v>
      </c>
      <c r="F99" s="435">
        <f t="shared" si="7"/>
        <v>0</v>
      </c>
      <c r="G99" s="274">
        <f t="shared" si="5"/>
        <v>0</v>
      </c>
      <c r="H99" s="410"/>
      <c r="I99" s="275">
        <v>0</v>
      </c>
      <c r="J99" s="276">
        <v>0</v>
      </c>
    </row>
    <row r="100" spans="4:10" x14ac:dyDescent="0.35">
      <c r="D100" s="42" t="s">
        <v>452</v>
      </c>
      <c r="E100" s="435">
        <f t="shared" si="6"/>
        <v>10</v>
      </c>
      <c r="F100" s="435">
        <f t="shared" si="7"/>
        <v>0</v>
      </c>
      <c r="G100" s="274">
        <f t="shared" si="5"/>
        <v>0</v>
      </c>
      <c r="H100" s="410"/>
      <c r="I100" s="275">
        <v>0</v>
      </c>
      <c r="J100" s="276">
        <v>0</v>
      </c>
    </row>
    <row r="101" spans="4:10" x14ac:dyDescent="0.35">
      <c r="D101" s="6" t="s">
        <v>0</v>
      </c>
      <c r="E101" s="272">
        <f t="shared" si="6"/>
        <v>2293.0997739404761</v>
      </c>
      <c r="F101" s="272">
        <f t="shared" si="7"/>
        <v>122.68640000000001</v>
      </c>
      <c r="G101" s="273">
        <f t="shared" si="5"/>
        <v>5.3502425578794151E-2</v>
      </c>
      <c r="H101" s="407"/>
      <c r="I101" s="5">
        <v>0</v>
      </c>
      <c r="J101" s="5">
        <v>0</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F252-7F44-49E7-BAF7-61C6BFC47D0A}">
  <dimension ref="B2:X80"/>
  <sheetViews>
    <sheetView showGridLines="0" zoomScale="70" zoomScaleNormal="70" workbookViewId="0">
      <pane xSplit="3" ySplit="6" topLeftCell="D53" activePane="bottomRight" state="frozen"/>
      <selection pane="topRight" activeCell="D1" sqref="D1"/>
      <selection pane="bottomLeft" activeCell="A7" sqref="A7"/>
      <selection pane="bottomRight" activeCell="L66" sqref="L66"/>
    </sheetView>
  </sheetViews>
  <sheetFormatPr baseColWidth="10" defaultColWidth="11.5546875" defaultRowHeight="18" outlineLevelRow="1" x14ac:dyDescent="0.35"/>
  <cols>
    <col min="1" max="3" width="3.21875" style="1" customWidth="1"/>
    <col min="4" max="4" width="99.109375" style="1" customWidth="1"/>
    <col min="5" max="7" width="27.33203125" style="1" hidden="1" customWidth="1"/>
    <col min="8" max="9" width="13.21875" style="1" customWidth="1"/>
    <col min="10" max="10" width="14.33203125" style="30" bestFit="1" customWidth="1"/>
    <col min="11" max="11" width="13" style="36" customWidth="1"/>
    <col min="12" max="17" width="21.33203125" style="1" customWidth="1"/>
    <col min="18" max="18" width="14" style="1" bestFit="1" customWidth="1"/>
    <col min="19" max="20" width="13.88671875" style="1" bestFit="1" customWidth="1"/>
    <col min="21" max="16384" width="11.5546875" style="1"/>
  </cols>
  <sheetData>
    <row r="2" spans="2:24" ht="21.75" x14ac:dyDescent="0.4">
      <c r="B2" s="27" t="s">
        <v>93</v>
      </c>
      <c r="C2" s="27"/>
      <c r="D2" s="26"/>
      <c r="E2" s="26"/>
      <c r="F2" s="26"/>
      <c r="G2" s="26"/>
      <c r="H2" s="26"/>
      <c r="I2" s="26"/>
      <c r="J2" s="28"/>
      <c r="K2" s="57"/>
      <c r="L2" s="26"/>
      <c r="M2" s="26"/>
      <c r="N2" s="26"/>
      <c r="O2" s="26"/>
      <c r="P2" s="26"/>
      <c r="Q2" s="26"/>
      <c r="R2" s="26"/>
      <c r="S2" s="26"/>
      <c r="T2" s="26"/>
      <c r="U2" s="26"/>
      <c r="V2" s="26"/>
      <c r="W2" s="26"/>
      <c r="X2" s="26"/>
    </row>
    <row r="4" spans="2:24" x14ac:dyDescent="0.35">
      <c r="B4" s="23">
        <v>1</v>
      </c>
      <c r="C4" s="1" t="s">
        <v>1</v>
      </c>
      <c r="D4" s="22" t="s">
        <v>92</v>
      </c>
      <c r="E4" s="21"/>
      <c r="F4" s="21"/>
      <c r="G4" s="21"/>
      <c r="H4" s="21"/>
      <c r="I4" s="21"/>
      <c r="J4" s="29"/>
      <c r="K4" s="52"/>
      <c r="L4" s="21"/>
      <c r="M4" s="21"/>
      <c r="N4" s="21"/>
      <c r="O4" s="21"/>
      <c r="P4" s="21"/>
      <c r="Q4" s="21"/>
      <c r="R4" s="21"/>
      <c r="S4" s="21"/>
      <c r="T4" s="21"/>
      <c r="U4" s="21"/>
      <c r="V4" s="21"/>
      <c r="W4" s="21"/>
      <c r="X4" s="21"/>
    </row>
    <row r="5" spans="2:24" x14ac:dyDescent="0.35">
      <c r="K5" s="389">
        <f>COUNT(K7:K64)</f>
        <v>43</v>
      </c>
    </row>
    <row r="6" spans="2:24" s="39" customFormat="1" ht="31.5" x14ac:dyDescent="0.35">
      <c r="B6" s="117"/>
      <c r="C6" s="117" t="s">
        <v>1</v>
      </c>
      <c r="D6" s="277" t="s">
        <v>91</v>
      </c>
      <c r="E6" s="277" t="s">
        <v>90</v>
      </c>
      <c r="F6" s="277" t="s">
        <v>89</v>
      </c>
      <c r="G6" s="277" t="s">
        <v>88</v>
      </c>
      <c r="H6" s="277" t="s">
        <v>87</v>
      </c>
      <c r="I6" s="277"/>
      <c r="J6" s="277" t="s">
        <v>999</v>
      </c>
      <c r="K6" s="389">
        <f>SUM(K7:K64)</f>
        <v>18</v>
      </c>
      <c r="L6" s="277" t="s">
        <v>1000</v>
      </c>
      <c r="M6" s="277" t="s">
        <v>1001</v>
      </c>
      <c r="N6" s="277" t="s">
        <v>84</v>
      </c>
      <c r="O6" s="277" t="s">
        <v>85</v>
      </c>
      <c r="P6" s="277" t="s">
        <v>84</v>
      </c>
      <c r="Q6" s="277" t="s">
        <v>83</v>
      </c>
      <c r="R6" s="117"/>
      <c r="S6" s="117"/>
      <c r="T6" s="117"/>
    </row>
    <row r="7" spans="2:24" x14ac:dyDescent="0.35">
      <c r="B7" s="24"/>
      <c r="C7" s="24"/>
      <c r="D7" s="73" t="s">
        <v>5</v>
      </c>
      <c r="E7" s="73" t="s">
        <v>62</v>
      </c>
      <c r="F7" s="73"/>
      <c r="G7" s="73"/>
      <c r="H7" s="83">
        <f>SUM(H11:H20)+H8</f>
        <v>69684828.142857149</v>
      </c>
      <c r="I7" s="83"/>
      <c r="J7" s="333"/>
      <c r="K7" s="84"/>
      <c r="L7" s="83">
        <f>SUM(L8:L20)</f>
        <v>0</v>
      </c>
      <c r="M7" s="83">
        <f>SUM(M8:M20)</f>
        <v>30906081.714285713</v>
      </c>
      <c r="N7" s="83">
        <f>COUNTIF(N8:N20,"VRAI")</f>
        <v>1</v>
      </c>
      <c r="O7" s="83">
        <f>SUM(O8:O20)</f>
        <v>0</v>
      </c>
      <c r="P7" s="83">
        <f>COUNTIF(P8:P20,"VRAI")</f>
        <v>1</v>
      </c>
      <c r="Q7" s="83">
        <f>SUM(Q8:Q20)</f>
        <v>0</v>
      </c>
      <c r="R7" s="24"/>
      <c r="S7" s="24"/>
      <c r="T7" s="24"/>
    </row>
    <row r="8" spans="2:24" x14ac:dyDescent="0.35">
      <c r="D8" s="334" t="s">
        <v>82</v>
      </c>
      <c r="E8" s="94" t="s">
        <v>62</v>
      </c>
      <c r="F8" s="335" t="s">
        <v>19</v>
      </c>
      <c r="G8" s="94"/>
      <c r="H8" s="336">
        <f>H9+H10</f>
        <v>10531609.571428571</v>
      </c>
      <c r="I8" s="336"/>
      <c r="J8" s="237"/>
      <c r="K8" s="379"/>
      <c r="L8" s="68"/>
      <c r="M8" s="68"/>
      <c r="N8" s="68"/>
      <c r="O8" s="68"/>
      <c r="P8" s="68"/>
      <c r="Q8" s="68"/>
    </row>
    <row r="9" spans="2:24" x14ac:dyDescent="0.35">
      <c r="D9" s="337" t="s">
        <v>81</v>
      </c>
      <c r="E9" s="335" t="s">
        <v>62</v>
      </c>
      <c r="F9" s="335" t="s">
        <v>19</v>
      </c>
      <c r="G9" s="335" t="s">
        <v>80</v>
      </c>
      <c r="H9" s="338">
        <v>1641804.5714285714</v>
      </c>
      <c r="I9" s="338"/>
      <c r="J9" s="237" t="s">
        <v>27</v>
      </c>
      <c r="K9" s="379">
        <f t="shared" ref="K9:K63" si="0">+IF(J9&lt;&gt;0, 1,0)</f>
        <v>1</v>
      </c>
      <c r="L9" s="68" t="str">
        <f t="shared" ref="L9:L20" si="1">IF(ISNUMBER(J9*H9),H9*J9,"0")</f>
        <v>0</v>
      </c>
      <c r="M9" s="68">
        <f t="shared" ref="M9:M20" si="2">IF(AND(NOT($P9),$J9="mix"),$H9,0)</f>
        <v>1641804.5714285714</v>
      </c>
      <c r="N9" s="68" t="b">
        <f t="shared" ref="N9:N20" si="3">AND(P9,J9&gt;0)</f>
        <v>0</v>
      </c>
      <c r="O9" s="68">
        <f t="shared" ref="O9:O20" si="4">IF(AND(NOT($P9),$J9="inc"),$H9,0)</f>
        <v>0</v>
      </c>
      <c r="P9" s="68" t="b">
        <f t="shared" ref="P9:P20" si="5">NOT(ISNUMBER($H9))</f>
        <v>0</v>
      </c>
      <c r="Q9" s="68">
        <f t="shared" ref="Q9:Q20" si="6">IF(AND(NOT(ISNUMBER(J9)),O9+N9+M9+L9=0),H9,0)</f>
        <v>0</v>
      </c>
    </row>
    <row r="10" spans="2:24" x14ac:dyDescent="0.35">
      <c r="D10" s="337" t="s">
        <v>79</v>
      </c>
      <c r="E10" s="335" t="s">
        <v>62</v>
      </c>
      <c r="F10" s="335" t="s">
        <v>19</v>
      </c>
      <c r="G10" s="335"/>
      <c r="H10" s="338">
        <v>8889805</v>
      </c>
      <c r="I10" s="338"/>
      <c r="J10" s="237">
        <v>0</v>
      </c>
      <c r="K10" s="380">
        <f t="shared" si="0"/>
        <v>0</v>
      </c>
      <c r="L10" s="68">
        <f t="shared" si="1"/>
        <v>0</v>
      </c>
      <c r="M10" s="68">
        <f t="shared" si="2"/>
        <v>0</v>
      </c>
      <c r="N10" s="68" t="b">
        <f t="shared" si="3"/>
        <v>0</v>
      </c>
      <c r="O10" s="68">
        <f t="shared" si="4"/>
        <v>0</v>
      </c>
      <c r="P10" s="68" t="b">
        <f t="shared" si="5"/>
        <v>0</v>
      </c>
      <c r="Q10" s="68">
        <f t="shared" si="6"/>
        <v>0</v>
      </c>
    </row>
    <row r="11" spans="2:24" x14ac:dyDescent="0.35">
      <c r="D11" s="41" t="s">
        <v>78</v>
      </c>
      <c r="E11" s="94" t="s">
        <v>62</v>
      </c>
      <c r="F11" s="335" t="s">
        <v>19</v>
      </c>
      <c r="G11" s="94"/>
      <c r="H11" s="336">
        <v>590857.14285714284</v>
      </c>
      <c r="I11" s="336"/>
      <c r="J11" s="237">
        <v>0</v>
      </c>
      <c r="K11" s="380">
        <f t="shared" si="0"/>
        <v>0</v>
      </c>
      <c r="L11" s="68">
        <f t="shared" si="1"/>
        <v>0</v>
      </c>
      <c r="M11" s="68">
        <f t="shared" si="2"/>
        <v>0</v>
      </c>
      <c r="N11" s="68" t="b">
        <f t="shared" si="3"/>
        <v>0</v>
      </c>
      <c r="O11" s="68">
        <f t="shared" si="4"/>
        <v>0</v>
      </c>
      <c r="P11" s="68" t="b">
        <f t="shared" si="5"/>
        <v>0</v>
      </c>
      <c r="Q11" s="68">
        <f t="shared" si="6"/>
        <v>0</v>
      </c>
    </row>
    <row r="12" spans="2:24" x14ac:dyDescent="0.35">
      <c r="D12" s="334" t="s">
        <v>77</v>
      </c>
      <c r="E12" s="94" t="s">
        <v>62</v>
      </c>
      <c r="F12" s="94" t="s">
        <v>19</v>
      </c>
      <c r="G12" s="94"/>
      <c r="H12" s="336">
        <v>2142857.1428571427</v>
      </c>
      <c r="I12" s="336"/>
      <c r="J12" s="237">
        <v>0</v>
      </c>
      <c r="K12" s="380"/>
      <c r="L12" s="68">
        <f t="shared" si="1"/>
        <v>0</v>
      </c>
      <c r="M12" s="68">
        <f t="shared" si="2"/>
        <v>0</v>
      </c>
      <c r="N12" s="68" t="b">
        <f t="shared" si="3"/>
        <v>0</v>
      </c>
      <c r="O12" s="68">
        <f t="shared" si="4"/>
        <v>0</v>
      </c>
      <c r="P12" s="68" t="b">
        <f t="shared" si="5"/>
        <v>0</v>
      </c>
      <c r="Q12" s="68">
        <f t="shared" si="6"/>
        <v>0</v>
      </c>
    </row>
    <row r="13" spans="2:24" ht="31.5" x14ac:dyDescent="0.35">
      <c r="D13" s="41" t="s">
        <v>76</v>
      </c>
      <c r="E13" s="94" t="s">
        <v>62</v>
      </c>
      <c r="F13" s="94" t="s">
        <v>19</v>
      </c>
      <c r="G13" s="94" t="s">
        <v>64</v>
      </c>
      <c r="H13" s="336">
        <v>17714285.714285713</v>
      </c>
      <c r="I13" s="336"/>
      <c r="J13" s="237">
        <v>0</v>
      </c>
      <c r="K13" s="380">
        <f t="shared" si="0"/>
        <v>0</v>
      </c>
      <c r="L13" s="68">
        <f t="shared" si="1"/>
        <v>0</v>
      </c>
      <c r="M13" s="68">
        <f t="shared" si="2"/>
        <v>0</v>
      </c>
      <c r="N13" s="68" t="b">
        <f t="shared" si="3"/>
        <v>0</v>
      </c>
      <c r="O13" s="68">
        <f t="shared" si="4"/>
        <v>0</v>
      </c>
      <c r="P13" s="68" t="b">
        <f t="shared" si="5"/>
        <v>0</v>
      </c>
      <c r="Q13" s="68">
        <f t="shared" si="6"/>
        <v>0</v>
      </c>
    </row>
    <row r="14" spans="2:24" x14ac:dyDescent="0.35">
      <c r="D14" s="41" t="s">
        <v>75</v>
      </c>
      <c r="E14" s="94" t="s">
        <v>62</v>
      </c>
      <c r="F14" s="94" t="s">
        <v>19</v>
      </c>
      <c r="G14" s="94"/>
      <c r="H14" s="336">
        <v>10352730.857142856</v>
      </c>
      <c r="I14" s="336"/>
      <c r="J14" s="237" t="s">
        <v>27</v>
      </c>
      <c r="K14" s="380">
        <f t="shared" si="0"/>
        <v>1</v>
      </c>
      <c r="L14" s="68" t="str">
        <f t="shared" si="1"/>
        <v>0</v>
      </c>
      <c r="M14" s="68">
        <f t="shared" si="2"/>
        <v>10352730.857142856</v>
      </c>
      <c r="N14" s="68" t="b">
        <f t="shared" si="3"/>
        <v>0</v>
      </c>
      <c r="O14" s="68">
        <f t="shared" si="4"/>
        <v>0</v>
      </c>
      <c r="P14" s="68" t="b">
        <f t="shared" si="5"/>
        <v>0</v>
      </c>
      <c r="Q14" s="68">
        <f t="shared" si="6"/>
        <v>0</v>
      </c>
    </row>
    <row r="15" spans="2:24" ht="31.5" x14ac:dyDescent="0.35">
      <c r="D15" s="41" t="s">
        <v>74</v>
      </c>
      <c r="E15" s="94" t="s">
        <v>62</v>
      </c>
      <c r="F15" s="94" t="s">
        <v>19</v>
      </c>
      <c r="G15" s="94" t="s">
        <v>73</v>
      </c>
      <c r="H15" s="336">
        <v>3569217.5714285714</v>
      </c>
      <c r="I15" s="336"/>
      <c r="J15" s="237">
        <v>0</v>
      </c>
      <c r="K15" s="380">
        <f t="shared" si="0"/>
        <v>0</v>
      </c>
      <c r="L15" s="68">
        <f t="shared" si="1"/>
        <v>0</v>
      </c>
      <c r="M15" s="68">
        <f t="shared" si="2"/>
        <v>0</v>
      </c>
      <c r="N15" s="68" t="b">
        <f t="shared" si="3"/>
        <v>0</v>
      </c>
      <c r="O15" s="68">
        <f t="shared" si="4"/>
        <v>0</v>
      </c>
      <c r="P15" s="68" t="b">
        <f t="shared" si="5"/>
        <v>0</v>
      </c>
      <c r="Q15" s="68">
        <f t="shared" si="6"/>
        <v>0</v>
      </c>
    </row>
    <row r="16" spans="2:24" ht="31.5" x14ac:dyDescent="0.35">
      <c r="D16" s="41" t="s">
        <v>72</v>
      </c>
      <c r="E16" s="94" t="s">
        <v>62</v>
      </c>
      <c r="F16" s="94" t="s">
        <v>71</v>
      </c>
      <c r="G16" s="94"/>
      <c r="H16" s="336">
        <v>15130260.571428571</v>
      </c>
      <c r="I16" s="336"/>
      <c r="J16" s="237" t="s">
        <v>27</v>
      </c>
      <c r="K16" s="380">
        <f t="shared" si="0"/>
        <v>1</v>
      </c>
      <c r="L16" s="68" t="str">
        <f t="shared" si="1"/>
        <v>0</v>
      </c>
      <c r="M16" s="68">
        <f t="shared" si="2"/>
        <v>15130260.571428571</v>
      </c>
      <c r="N16" s="68" t="b">
        <f t="shared" si="3"/>
        <v>0</v>
      </c>
      <c r="O16" s="68">
        <f t="shared" si="4"/>
        <v>0</v>
      </c>
      <c r="P16" s="68" t="b">
        <f t="shared" si="5"/>
        <v>0</v>
      </c>
      <c r="Q16" s="68">
        <f t="shared" si="6"/>
        <v>0</v>
      </c>
    </row>
    <row r="17" spans="2:20" ht="47.25" x14ac:dyDescent="0.35">
      <c r="D17" s="41" t="s">
        <v>70</v>
      </c>
      <c r="E17" s="94" t="s">
        <v>62</v>
      </c>
      <c r="F17" s="94"/>
      <c r="G17" s="94"/>
      <c r="H17" s="336"/>
      <c r="I17" s="336" t="s">
        <v>69</v>
      </c>
      <c r="J17" s="237" t="s">
        <v>68</v>
      </c>
      <c r="K17" s="380">
        <f t="shared" si="0"/>
        <v>1</v>
      </c>
      <c r="L17" s="68" t="str">
        <f t="shared" si="1"/>
        <v>0</v>
      </c>
      <c r="M17" s="68">
        <f t="shared" si="2"/>
        <v>0</v>
      </c>
      <c r="N17" s="68" t="b">
        <f t="shared" si="3"/>
        <v>1</v>
      </c>
      <c r="O17" s="68">
        <f t="shared" si="4"/>
        <v>0</v>
      </c>
      <c r="P17" s="68" t="b">
        <f t="shared" si="5"/>
        <v>1</v>
      </c>
      <c r="Q17" s="68">
        <f t="shared" si="6"/>
        <v>0</v>
      </c>
    </row>
    <row r="18" spans="2:20" x14ac:dyDescent="0.35">
      <c r="D18" s="41" t="s">
        <v>67</v>
      </c>
      <c r="E18" s="94" t="s">
        <v>62</v>
      </c>
      <c r="F18" s="94" t="s">
        <v>66</v>
      </c>
      <c r="G18" s="94"/>
      <c r="H18" s="336">
        <v>3781285.7142857141</v>
      </c>
      <c r="I18" s="336"/>
      <c r="J18" s="237" t="s">
        <v>27</v>
      </c>
      <c r="K18" s="380">
        <f t="shared" si="0"/>
        <v>1</v>
      </c>
      <c r="L18" s="68" t="str">
        <f t="shared" si="1"/>
        <v>0</v>
      </c>
      <c r="M18" s="68">
        <f t="shared" si="2"/>
        <v>3781285.7142857141</v>
      </c>
      <c r="N18" s="68" t="b">
        <f t="shared" si="3"/>
        <v>0</v>
      </c>
      <c r="O18" s="68">
        <f t="shared" si="4"/>
        <v>0</v>
      </c>
      <c r="P18" s="68" t="b">
        <f t="shared" si="5"/>
        <v>0</v>
      </c>
      <c r="Q18" s="68">
        <f t="shared" si="6"/>
        <v>0</v>
      </c>
    </row>
    <row r="19" spans="2:20" ht="31.5" x14ac:dyDescent="0.35">
      <c r="D19" s="41" t="s">
        <v>65</v>
      </c>
      <c r="E19" s="94" t="s">
        <v>62</v>
      </c>
      <c r="F19" s="94" t="s">
        <v>16</v>
      </c>
      <c r="G19" s="94" t="s">
        <v>64</v>
      </c>
      <c r="H19" s="336">
        <v>1285714.2857142857</v>
      </c>
      <c r="I19" s="336"/>
      <c r="J19" s="237">
        <v>0</v>
      </c>
      <c r="K19" s="380">
        <f t="shared" si="0"/>
        <v>0</v>
      </c>
      <c r="L19" s="68">
        <f t="shared" si="1"/>
        <v>0</v>
      </c>
      <c r="M19" s="68">
        <f t="shared" si="2"/>
        <v>0</v>
      </c>
      <c r="N19" s="68" t="b">
        <f t="shared" si="3"/>
        <v>0</v>
      </c>
      <c r="O19" s="68">
        <f t="shared" si="4"/>
        <v>0</v>
      </c>
      <c r="P19" s="68" t="b">
        <f t="shared" si="5"/>
        <v>0</v>
      </c>
      <c r="Q19" s="68">
        <f t="shared" si="6"/>
        <v>0</v>
      </c>
    </row>
    <row r="20" spans="2:20" x14ac:dyDescent="0.35">
      <c r="D20" s="41" t="s">
        <v>63</v>
      </c>
      <c r="E20" s="94" t="s">
        <v>62</v>
      </c>
      <c r="F20" s="94" t="s">
        <v>16</v>
      </c>
      <c r="G20" s="94"/>
      <c r="H20" s="79">
        <v>4586009.5714285718</v>
      </c>
      <c r="I20" s="79"/>
      <c r="J20" s="237">
        <v>0</v>
      </c>
      <c r="K20" s="380">
        <f t="shared" si="0"/>
        <v>0</v>
      </c>
      <c r="L20" s="68">
        <f t="shared" si="1"/>
        <v>0</v>
      </c>
      <c r="M20" s="68">
        <f t="shared" si="2"/>
        <v>0</v>
      </c>
      <c r="N20" s="68" t="b">
        <f t="shared" si="3"/>
        <v>0</v>
      </c>
      <c r="O20" s="68">
        <f t="shared" si="4"/>
        <v>0</v>
      </c>
      <c r="P20" s="68" t="b">
        <f t="shared" si="5"/>
        <v>0</v>
      </c>
      <c r="Q20" s="68">
        <f t="shared" si="6"/>
        <v>0</v>
      </c>
    </row>
    <row r="21" spans="2:20" x14ac:dyDescent="0.35">
      <c r="B21" s="24"/>
      <c r="C21" s="24"/>
      <c r="D21" s="73" t="s">
        <v>4</v>
      </c>
      <c r="E21" s="73" t="s">
        <v>4</v>
      </c>
      <c r="F21" s="73"/>
      <c r="G21" s="73"/>
      <c r="H21" s="83">
        <f>H24+H26+H46+H22</f>
        <v>962616602.88428569</v>
      </c>
      <c r="I21" s="83"/>
      <c r="J21" s="333"/>
      <c r="K21" s="333"/>
      <c r="L21" s="83">
        <f>SUM(L22:L47)</f>
        <v>1901277</v>
      </c>
      <c r="M21" s="83">
        <f>SUM(M22:M47)</f>
        <v>13280374.646853223</v>
      </c>
      <c r="N21" s="83">
        <f>COUNTIF(N24:N47,"VRAI")</f>
        <v>0</v>
      </c>
      <c r="O21" s="83">
        <f>SUM(O24:O47)</f>
        <v>0</v>
      </c>
      <c r="P21" s="83">
        <f>COUNTIF(P24:P47,"VRAI")</f>
        <v>0</v>
      </c>
      <c r="Q21" s="83">
        <f>SUM(Q24:Q47)</f>
        <v>0</v>
      </c>
      <c r="R21" s="24"/>
      <c r="S21" s="24"/>
      <c r="T21" s="24"/>
    </row>
    <row r="22" spans="2:20" s="24" customFormat="1" x14ac:dyDescent="0.35">
      <c r="C22" s="25"/>
      <c r="D22" s="286" t="s">
        <v>61</v>
      </c>
      <c r="E22" s="100" t="s">
        <v>4</v>
      </c>
      <c r="F22" s="100"/>
      <c r="G22" s="100"/>
      <c r="H22" s="339">
        <f>SUM(H23:H23)</f>
        <v>500000</v>
      </c>
      <c r="I22" s="339"/>
      <c r="J22" s="340"/>
      <c r="K22" s="340"/>
      <c r="L22" s="96"/>
      <c r="M22" s="96"/>
      <c r="N22" s="96"/>
      <c r="O22" s="96"/>
      <c r="P22" s="339"/>
      <c r="Q22" s="339"/>
    </row>
    <row r="23" spans="2:20" x14ac:dyDescent="0.35">
      <c r="D23" s="41" t="s">
        <v>60</v>
      </c>
      <c r="E23" s="94" t="s">
        <v>4</v>
      </c>
      <c r="F23" s="94" t="s">
        <v>19</v>
      </c>
      <c r="G23" s="94"/>
      <c r="H23" s="341">
        <v>500000</v>
      </c>
      <c r="I23" s="341"/>
      <c r="J23" s="237" t="s">
        <v>27</v>
      </c>
      <c r="K23" s="380">
        <f t="shared" si="0"/>
        <v>1</v>
      </c>
      <c r="L23" s="68" t="str">
        <f>IF(ISNUMBER(J23*H23),H23*J23,"0")</f>
        <v>0</v>
      </c>
      <c r="M23" s="68">
        <f>IF(AND(NOT($P23),$J23="mix"),$H23,0)</f>
        <v>500000</v>
      </c>
      <c r="N23" s="68" t="b">
        <f>AND(P23,J23&gt;0)</f>
        <v>0</v>
      </c>
      <c r="O23" s="68">
        <f>IF(AND(NOT($P23),$J23="inc"),$H23,0)</f>
        <v>0</v>
      </c>
      <c r="P23" s="68" t="b">
        <f>NOT(ISNUMBER($H23))</f>
        <v>0</v>
      </c>
      <c r="Q23" s="68">
        <f>IF(AND(NOT(ISNUMBER(J23)),O23+N23+M23+L23=0),H23,0)</f>
        <v>0</v>
      </c>
    </row>
    <row r="24" spans="2:20" x14ac:dyDescent="0.35">
      <c r="B24" s="24"/>
      <c r="C24" s="24"/>
      <c r="D24" s="286" t="s">
        <v>59</v>
      </c>
      <c r="E24" s="100" t="s">
        <v>4</v>
      </c>
      <c r="F24" s="100"/>
      <c r="G24" s="100"/>
      <c r="H24" s="339">
        <f>H25</f>
        <v>787337160</v>
      </c>
      <c r="I24" s="339"/>
      <c r="J24" s="342"/>
      <c r="K24" s="380"/>
      <c r="L24" s="96"/>
      <c r="M24" s="96"/>
      <c r="N24" s="96"/>
      <c r="O24" s="96"/>
      <c r="P24" s="339"/>
      <c r="Q24" s="339"/>
      <c r="R24" s="24"/>
      <c r="S24" s="24"/>
      <c r="T24" s="24"/>
    </row>
    <row r="25" spans="2:20" x14ac:dyDescent="0.35">
      <c r="D25" s="15" t="s">
        <v>947</v>
      </c>
      <c r="E25" s="94" t="s">
        <v>4</v>
      </c>
      <c r="F25" s="94" t="s">
        <v>16</v>
      </c>
      <c r="G25" s="94"/>
      <c r="H25" s="341">
        <v>787337160</v>
      </c>
      <c r="I25" s="341"/>
      <c r="J25" s="237">
        <v>0</v>
      </c>
      <c r="K25" s="380">
        <f t="shared" si="0"/>
        <v>0</v>
      </c>
      <c r="L25" s="68">
        <f>IF(ISNUMBER(J25*H25),H25*J25,"0")</f>
        <v>0</v>
      </c>
      <c r="M25" s="68">
        <f>IF(AND(NOT($P25),$J25="mix"),$H25,0)</f>
        <v>0</v>
      </c>
      <c r="N25" s="68" t="b">
        <f>AND(P25,J25&gt;0)</f>
        <v>0</v>
      </c>
      <c r="O25" s="68">
        <f>IF(AND(NOT($P25),$J25="inc"),$H25,0)</f>
        <v>0</v>
      </c>
      <c r="P25" s="68" t="b">
        <f>NOT(ISNUMBER($H25))</f>
        <v>0</v>
      </c>
      <c r="Q25" s="68">
        <f>IF(AND(NOT(ISNUMBER(J25)),O25+N25+M25+L25=0),H25,0)</f>
        <v>0</v>
      </c>
    </row>
    <row r="26" spans="2:20" x14ac:dyDescent="0.35">
      <c r="B26" s="24"/>
      <c r="C26" s="24"/>
      <c r="D26" s="286" t="s">
        <v>58</v>
      </c>
      <c r="E26" s="100" t="s">
        <v>4</v>
      </c>
      <c r="F26" s="100"/>
      <c r="G26" s="100"/>
      <c r="H26" s="339">
        <f>H27+H28+H34+H35+H36+H43</f>
        <v>167279442.88428572</v>
      </c>
      <c r="I26" s="339"/>
      <c r="J26" s="342"/>
      <c r="K26" s="380"/>
      <c r="L26" s="96"/>
      <c r="M26" s="96"/>
      <c r="N26" s="96"/>
      <c r="O26" s="96"/>
      <c r="P26" s="339"/>
      <c r="Q26" s="339"/>
      <c r="R26" s="24"/>
      <c r="S26" s="24"/>
      <c r="T26" s="24"/>
    </row>
    <row r="27" spans="2:20" x14ac:dyDescent="0.35">
      <c r="D27" s="15" t="s">
        <v>57</v>
      </c>
      <c r="E27" s="94" t="s">
        <v>4</v>
      </c>
      <c r="F27" s="94" t="s">
        <v>16</v>
      </c>
      <c r="G27" s="94"/>
      <c r="H27" s="341">
        <v>36183569</v>
      </c>
      <c r="I27" s="341"/>
      <c r="J27" s="237">
        <v>0</v>
      </c>
      <c r="K27" s="380">
        <f t="shared" si="0"/>
        <v>0</v>
      </c>
      <c r="L27" s="68">
        <f>IF(ISNUMBER(J27*H27),H27*J27,"0")</f>
        <v>0</v>
      </c>
      <c r="M27" s="68">
        <f>IF(AND(NOT($P27),$J27="mix"),$H27,0)</f>
        <v>0</v>
      </c>
      <c r="N27" s="68" t="b">
        <f>AND(P27,J27&gt;0)</f>
        <v>0</v>
      </c>
      <c r="O27" s="68">
        <f>IF(AND(NOT($P27),$J27="inc"),$H27,0)</f>
        <v>0</v>
      </c>
      <c r="P27" s="68" t="b">
        <f>NOT(ISNUMBER($H27))</f>
        <v>0</v>
      </c>
      <c r="Q27" s="68">
        <f>IF(AND(NOT(ISNUMBER(J27)),O27+N27+M27+L27=0),H27,0)</f>
        <v>0</v>
      </c>
    </row>
    <row r="28" spans="2:20" x14ac:dyDescent="0.35">
      <c r="D28" s="15" t="s">
        <v>56</v>
      </c>
      <c r="E28" s="94" t="s">
        <v>4</v>
      </c>
      <c r="F28" s="94" t="s">
        <v>16</v>
      </c>
      <c r="G28" s="94"/>
      <c r="H28" s="341">
        <v>36458259</v>
      </c>
      <c r="I28" s="341"/>
      <c r="J28" s="237">
        <v>0</v>
      </c>
      <c r="K28" s="380">
        <f t="shared" si="0"/>
        <v>0</v>
      </c>
      <c r="L28" s="68">
        <f>IF(ISNUMBER(J28*H28),H28*J28,"0")</f>
        <v>0</v>
      </c>
      <c r="M28" s="68">
        <f>IF(AND(NOT($P28),$J28="mix"),$H28,0)</f>
        <v>0</v>
      </c>
      <c r="N28" s="68" t="b">
        <f>AND(P28,J28&gt;0)</f>
        <v>0</v>
      </c>
      <c r="O28" s="68">
        <f>IF(AND(NOT($P28),$J28="inc"),$H28,0)</f>
        <v>0</v>
      </c>
      <c r="P28" s="68" t="b">
        <f>NOT(ISNUMBER($H28))</f>
        <v>0</v>
      </c>
      <c r="Q28" s="68">
        <f>IF(AND(NOT(ISNUMBER(J28)),O28+N28+M28+L28=0),H28,0)</f>
        <v>0</v>
      </c>
    </row>
    <row r="29" spans="2:20" x14ac:dyDescent="0.35">
      <c r="D29" s="15" t="s">
        <v>55</v>
      </c>
      <c r="E29" s="94" t="s">
        <v>4</v>
      </c>
      <c r="F29" s="94" t="s">
        <v>25</v>
      </c>
      <c r="G29" s="94"/>
      <c r="H29" s="341">
        <f>SUM(H30:H33)</f>
        <v>105283676</v>
      </c>
      <c r="I29" s="341"/>
      <c r="J29" s="343"/>
      <c r="K29" s="380">
        <f t="shared" si="0"/>
        <v>0</v>
      </c>
      <c r="L29" s="68"/>
      <c r="M29" s="68">
        <f>IF(J29="mixte",H29,0)</f>
        <v>0</v>
      </c>
      <c r="N29" s="68">
        <f>IF(J29="inclassable",H29,0)</f>
        <v>0</v>
      </c>
      <c r="O29" s="68">
        <f>IF(J29="à classer",H29,0)</f>
        <v>0</v>
      </c>
      <c r="P29" s="68"/>
      <c r="Q29" s="68"/>
    </row>
    <row r="30" spans="2:20" outlineLevel="1" x14ac:dyDescent="0.35">
      <c r="D30" s="344" t="s">
        <v>54</v>
      </c>
      <c r="E30" s="94" t="s">
        <v>4</v>
      </c>
      <c r="F30" s="94"/>
      <c r="G30" s="94"/>
      <c r="H30" s="341">
        <v>6780000</v>
      </c>
      <c r="I30" s="341"/>
      <c r="J30" s="237">
        <v>0</v>
      </c>
      <c r="K30" s="380">
        <f t="shared" si="0"/>
        <v>0</v>
      </c>
      <c r="L30" s="68">
        <f t="shared" ref="L30:L35" si="7">IF(ISNUMBER(J30*H30),H30*J30,"0")</f>
        <v>0</v>
      </c>
      <c r="M30" s="68">
        <f t="shared" ref="M30:M35" si="8">IF(AND(NOT($P30),$J30="mix"),$H30,0)</f>
        <v>0</v>
      </c>
      <c r="N30" s="68" t="b">
        <f t="shared" ref="N30:N35" si="9">AND(P30,J30&gt;0)</f>
        <v>0</v>
      </c>
      <c r="O30" s="68">
        <f t="shared" ref="O30:O35" si="10">IF(AND(NOT($P30),$J30="inc"),$H30,0)</f>
        <v>0</v>
      </c>
      <c r="P30" s="68" t="b">
        <f t="shared" ref="P30:P35" si="11">NOT(ISNUMBER($H30))</f>
        <v>0</v>
      </c>
      <c r="Q30" s="68">
        <f t="shared" ref="Q30:Q35" si="12">IF(AND(NOT(ISNUMBER(J30)),O30+N30+M30+L30=0),H30,0)</f>
        <v>0</v>
      </c>
    </row>
    <row r="31" spans="2:20" outlineLevel="1" x14ac:dyDescent="0.35">
      <c r="D31" s="344" t="s">
        <v>53</v>
      </c>
      <c r="E31" s="94" t="s">
        <v>4</v>
      </c>
      <c r="F31" s="94"/>
      <c r="G31" s="94"/>
      <c r="H31" s="341">
        <v>67443496</v>
      </c>
      <c r="I31" s="341"/>
      <c r="J31" s="237">
        <v>0</v>
      </c>
      <c r="K31" s="278"/>
      <c r="L31" s="68">
        <f t="shared" si="7"/>
        <v>0</v>
      </c>
      <c r="M31" s="68">
        <f t="shared" si="8"/>
        <v>0</v>
      </c>
      <c r="N31" s="68" t="b">
        <f t="shared" si="9"/>
        <v>0</v>
      </c>
      <c r="O31" s="68">
        <f t="shared" si="10"/>
        <v>0</v>
      </c>
      <c r="P31" s="68" t="b">
        <f t="shared" si="11"/>
        <v>0</v>
      </c>
      <c r="Q31" s="68">
        <f t="shared" si="12"/>
        <v>0</v>
      </c>
    </row>
    <row r="32" spans="2:20" outlineLevel="1" x14ac:dyDescent="0.35">
      <c r="D32" s="344" t="s">
        <v>52</v>
      </c>
      <c r="E32" s="94" t="s">
        <v>4</v>
      </c>
      <c r="F32" s="94"/>
      <c r="G32" s="94"/>
      <c r="H32" s="341">
        <v>30200000</v>
      </c>
      <c r="I32" s="341"/>
      <c r="J32" s="237">
        <v>0</v>
      </c>
      <c r="K32" s="278"/>
      <c r="L32" s="68">
        <f t="shared" si="7"/>
        <v>0</v>
      </c>
      <c r="M32" s="68">
        <f t="shared" si="8"/>
        <v>0</v>
      </c>
      <c r="N32" s="68" t="b">
        <f t="shared" si="9"/>
        <v>0</v>
      </c>
      <c r="O32" s="68">
        <f t="shared" si="10"/>
        <v>0</v>
      </c>
      <c r="P32" s="68" t="b">
        <f t="shared" si="11"/>
        <v>0</v>
      </c>
      <c r="Q32" s="68">
        <f t="shared" si="12"/>
        <v>0</v>
      </c>
    </row>
    <row r="33" spans="2:20" outlineLevel="1" x14ac:dyDescent="0.35">
      <c r="D33" s="344" t="s">
        <v>51</v>
      </c>
      <c r="E33" s="94" t="s">
        <v>4</v>
      </c>
      <c r="F33" s="94"/>
      <c r="G33" s="94"/>
      <c r="H33" s="341">
        <v>860180</v>
      </c>
      <c r="I33" s="341"/>
      <c r="J33" s="237">
        <v>0</v>
      </c>
      <c r="K33" s="280"/>
      <c r="L33" s="68">
        <f t="shared" si="7"/>
        <v>0</v>
      </c>
      <c r="M33" s="68">
        <f t="shared" si="8"/>
        <v>0</v>
      </c>
      <c r="N33" s="68" t="b">
        <f t="shared" si="9"/>
        <v>0</v>
      </c>
      <c r="O33" s="68">
        <f t="shared" si="10"/>
        <v>0</v>
      </c>
      <c r="P33" s="68" t="b">
        <f t="shared" si="11"/>
        <v>0</v>
      </c>
      <c r="Q33" s="68">
        <f t="shared" si="12"/>
        <v>0</v>
      </c>
    </row>
    <row r="34" spans="2:20" x14ac:dyDescent="0.35">
      <c r="D34" s="15" t="s">
        <v>50</v>
      </c>
      <c r="E34" s="94" t="s">
        <v>4</v>
      </c>
      <c r="F34" s="94" t="s">
        <v>16</v>
      </c>
      <c r="G34" s="94"/>
      <c r="H34" s="341">
        <v>18118409</v>
      </c>
      <c r="I34" s="341"/>
      <c r="J34" s="237">
        <v>0</v>
      </c>
      <c r="K34" s="380">
        <f t="shared" si="0"/>
        <v>0</v>
      </c>
      <c r="L34" s="68">
        <f t="shared" si="7"/>
        <v>0</v>
      </c>
      <c r="M34" s="68">
        <f t="shared" si="8"/>
        <v>0</v>
      </c>
      <c r="N34" s="68" t="b">
        <f t="shared" si="9"/>
        <v>0</v>
      </c>
      <c r="O34" s="68">
        <f t="shared" si="10"/>
        <v>0</v>
      </c>
      <c r="P34" s="68" t="b">
        <f t="shared" si="11"/>
        <v>0</v>
      </c>
      <c r="Q34" s="68">
        <f t="shared" si="12"/>
        <v>0</v>
      </c>
    </row>
    <row r="35" spans="2:20" x14ac:dyDescent="0.35">
      <c r="D35" s="15" t="s">
        <v>49</v>
      </c>
      <c r="E35" s="94" t="s">
        <v>4</v>
      </c>
      <c r="F35" s="94" t="s">
        <v>16</v>
      </c>
      <c r="G35" s="94"/>
      <c r="H35" s="341">
        <v>11612924</v>
      </c>
      <c r="I35" s="341"/>
      <c r="J35" s="237">
        <v>0</v>
      </c>
      <c r="K35" s="380">
        <f t="shared" si="0"/>
        <v>0</v>
      </c>
      <c r="L35" s="68">
        <f t="shared" si="7"/>
        <v>0</v>
      </c>
      <c r="M35" s="68">
        <f t="shared" si="8"/>
        <v>0</v>
      </c>
      <c r="N35" s="68" t="b">
        <f t="shared" si="9"/>
        <v>0</v>
      </c>
      <c r="O35" s="68">
        <f t="shared" si="10"/>
        <v>0</v>
      </c>
      <c r="P35" s="68" t="b">
        <f t="shared" si="11"/>
        <v>0</v>
      </c>
      <c r="Q35" s="68">
        <f t="shared" si="12"/>
        <v>0</v>
      </c>
    </row>
    <row r="36" spans="2:20" x14ac:dyDescent="0.35">
      <c r="D36" s="345" t="s">
        <v>48</v>
      </c>
      <c r="E36" s="94" t="s">
        <v>4</v>
      </c>
      <c r="F36" s="94" t="s">
        <v>19</v>
      </c>
      <c r="G36" s="94"/>
      <c r="H36" s="346">
        <f>SUM(H37:H42)</f>
        <v>45244772.884285718</v>
      </c>
      <c r="I36" s="346"/>
      <c r="J36" s="237"/>
      <c r="K36" s="380">
        <f t="shared" si="0"/>
        <v>0</v>
      </c>
      <c r="L36" s="68"/>
      <c r="M36" s="68"/>
      <c r="N36" s="68"/>
      <c r="O36" s="68"/>
      <c r="P36" s="68"/>
      <c r="Q36" s="68"/>
    </row>
    <row r="37" spans="2:20" outlineLevel="1" x14ac:dyDescent="0.35">
      <c r="D37" s="347" t="s">
        <v>47</v>
      </c>
      <c r="E37" s="94" t="s">
        <v>4</v>
      </c>
      <c r="F37" s="94" t="s">
        <v>19</v>
      </c>
      <c r="G37" s="94"/>
      <c r="H37" s="341">
        <v>10643800</v>
      </c>
      <c r="I37" s="341"/>
      <c r="J37" s="237">
        <v>0</v>
      </c>
      <c r="K37" s="380">
        <f t="shared" si="0"/>
        <v>0</v>
      </c>
      <c r="L37" s="68">
        <f t="shared" ref="L37:L42" si="13">IF(ISNUMBER(J37*H37),H37*J37,"0")</f>
        <v>0</v>
      </c>
      <c r="M37" s="68">
        <f>IF(AND(NOT($P37),$J37="mix"),$H37,0)</f>
        <v>0</v>
      </c>
      <c r="N37" s="68" t="b">
        <f t="shared" ref="N37:N42" si="14">AND(P37,J37&gt;0)</f>
        <v>0</v>
      </c>
      <c r="O37" s="68">
        <f t="shared" ref="O37:O42" si="15">IF(AND(NOT($P37),$J37="inc"),$H37,0)</f>
        <v>0</v>
      </c>
      <c r="P37" s="68" t="b">
        <f t="shared" ref="P37:P42" si="16">NOT(ISNUMBER($H37))</f>
        <v>0</v>
      </c>
      <c r="Q37" s="68">
        <f t="shared" ref="Q37:Q42" si="17">IF(AND(NOT(ISNUMBER(J37)),O37+N37+M37+L37=0),H37,0)</f>
        <v>0</v>
      </c>
    </row>
    <row r="38" spans="2:20" outlineLevel="1" x14ac:dyDescent="0.35">
      <c r="D38" s="347" t="s">
        <v>46</v>
      </c>
      <c r="E38" s="94" t="s">
        <v>4</v>
      </c>
      <c r="F38" s="94" t="s">
        <v>19</v>
      </c>
      <c r="G38" s="94"/>
      <c r="H38" s="341">
        <f>5714000-43/100*H20</f>
        <v>3742015.8842857145</v>
      </c>
      <c r="I38" s="341"/>
      <c r="J38" s="237">
        <v>0</v>
      </c>
      <c r="K38" s="380">
        <f t="shared" si="0"/>
        <v>0</v>
      </c>
      <c r="L38" s="68">
        <f t="shared" si="13"/>
        <v>0</v>
      </c>
      <c r="M38" s="68">
        <f>IF(AND(NOT($P38),$J38="mix"),$H38,0)</f>
        <v>0</v>
      </c>
      <c r="N38" s="68" t="b">
        <f t="shared" si="14"/>
        <v>0</v>
      </c>
      <c r="O38" s="68">
        <f t="shared" si="15"/>
        <v>0</v>
      </c>
      <c r="P38" s="68" t="b">
        <f t="shared" si="16"/>
        <v>0</v>
      </c>
      <c r="Q38" s="68">
        <f t="shared" si="17"/>
        <v>0</v>
      </c>
    </row>
    <row r="39" spans="2:20" outlineLevel="1" x14ac:dyDescent="0.35">
      <c r="D39" s="347" t="s">
        <v>45</v>
      </c>
      <c r="E39" s="94" t="s">
        <v>4</v>
      </c>
      <c r="F39" s="94" t="s">
        <v>19</v>
      </c>
      <c r="G39" s="94"/>
      <c r="H39" s="341">
        <v>10310000</v>
      </c>
      <c r="I39" s="341"/>
      <c r="J39" s="237">
        <v>0</v>
      </c>
      <c r="K39" s="380">
        <f t="shared" si="0"/>
        <v>0</v>
      </c>
      <c r="L39" s="68">
        <f t="shared" si="13"/>
        <v>0</v>
      </c>
      <c r="M39" s="68">
        <f>IF(AND(NOT($P39),$J39="mix"),$H39,0)</f>
        <v>0</v>
      </c>
      <c r="N39" s="68" t="b">
        <f t="shared" si="14"/>
        <v>0</v>
      </c>
      <c r="O39" s="68">
        <f t="shared" si="15"/>
        <v>0</v>
      </c>
      <c r="P39" s="68" t="b">
        <f t="shared" si="16"/>
        <v>0</v>
      </c>
      <c r="Q39" s="68">
        <f t="shared" si="17"/>
        <v>0</v>
      </c>
    </row>
    <row r="40" spans="2:20" outlineLevel="1" x14ac:dyDescent="0.35">
      <c r="D40" s="347" t="s">
        <v>44</v>
      </c>
      <c r="E40" s="94" t="s">
        <v>4</v>
      </c>
      <c r="F40" s="94" t="s">
        <v>19</v>
      </c>
      <c r="G40" s="94"/>
      <c r="H40" s="341">
        <v>5490431</v>
      </c>
      <c r="I40" s="341"/>
      <c r="J40" s="237">
        <v>0</v>
      </c>
      <c r="K40" s="380">
        <f t="shared" si="0"/>
        <v>0</v>
      </c>
      <c r="L40" s="68">
        <f t="shared" si="13"/>
        <v>0</v>
      </c>
      <c r="M40" s="68">
        <f>IF(AND(NOT($P40),$J40="mix"),$H40,0)</f>
        <v>0</v>
      </c>
      <c r="N40" s="68" t="b">
        <f t="shared" si="14"/>
        <v>0</v>
      </c>
      <c r="O40" s="68">
        <f t="shared" si="15"/>
        <v>0</v>
      </c>
      <c r="P40" s="68" t="b">
        <f t="shared" si="16"/>
        <v>0</v>
      </c>
      <c r="Q40" s="68">
        <f t="shared" si="17"/>
        <v>0</v>
      </c>
    </row>
    <row r="41" spans="2:20" outlineLevel="1" x14ac:dyDescent="0.35">
      <c r="D41" s="347" t="s">
        <v>43</v>
      </c>
      <c r="E41" s="94" t="s">
        <v>4</v>
      </c>
      <c r="F41" s="94" t="s">
        <v>19</v>
      </c>
      <c r="G41" s="94"/>
      <c r="H41" s="341">
        <v>4030000</v>
      </c>
      <c r="I41" s="341"/>
      <c r="J41" s="237" t="s">
        <v>27</v>
      </c>
      <c r="K41" s="380">
        <f t="shared" si="0"/>
        <v>1</v>
      </c>
      <c r="L41" s="68" t="str">
        <f t="shared" si="13"/>
        <v>0</v>
      </c>
      <c r="M41" s="68">
        <f>IF(AND(NOT($P41),$J41="mix"),$H41,0)</f>
        <v>4030000</v>
      </c>
      <c r="N41" s="68" t="b">
        <f t="shared" si="14"/>
        <v>0</v>
      </c>
      <c r="O41" s="68">
        <f t="shared" si="15"/>
        <v>0</v>
      </c>
      <c r="P41" s="68" t="b">
        <f t="shared" si="16"/>
        <v>0</v>
      </c>
      <c r="Q41" s="68">
        <f t="shared" si="17"/>
        <v>0</v>
      </c>
    </row>
    <row r="42" spans="2:20" outlineLevel="1" x14ac:dyDescent="0.35">
      <c r="D42" s="347" t="s">
        <v>42</v>
      </c>
      <c r="E42" s="94" t="s">
        <v>4</v>
      </c>
      <c r="F42" s="94" t="s">
        <v>19</v>
      </c>
      <c r="G42" s="94"/>
      <c r="H42" s="341">
        <v>11028526</v>
      </c>
      <c r="I42" s="341"/>
      <c r="J42" s="237" t="s">
        <v>27</v>
      </c>
      <c r="K42" s="380">
        <f t="shared" si="0"/>
        <v>1</v>
      </c>
      <c r="L42" s="68" t="str">
        <f t="shared" si="13"/>
        <v>0</v>
      </c>
      <c r="M42" s="68">
        <v>1250374.6468532239</v>
      </c>
      <c r="N42" s="68" t="b">
        <f t="shared" si="14"/>
        <v>0</v>
      </c>
      <c r="O42" s="68">
        <f t="shared" si="15"/>
        <v>0</v>
      </c>
      <c r="P42" s="68" t="b">
        <f t="shared" si="16"/>
        <v>0</v>
      </c>
      <c r="Q42" s="68">
        <f t="shared" si="17"/>
        <v>0</v>
      </c>
    </row>
    <row r="43" spans="2:20" x14ac:dyDescent="0.35">
      <c r="D43" s="15" t="s">
        <v>41</v>
      </c>
      <c r="E43" s="94" t="s">
        <v>4</v>
      </c>
      <c r="F43" s="94"/>
      <c r="G43" s="94"/>
      <c r="H43" s="341">
        <f>H44+H45</f>
        <v>19661509</v>
      </c>
      <c r="I43" s="341"/>
      <c r="J43" s="237"/>
      <c r="K43" s="380">
        <f t="shared" si="0"/>
        <v>0</v>
      </c>
      <c r="L43" s="68"/>
      <c r="M43" s="68"/>
      <c r="N43" s="68"/>
      <c r="O43" s="68"/>
      <c r="P43" s="68"/>
      <c r="Q43" s="68"/>
    </row>
    <row r="44" spans="2:20" outlineLevel="1" x14ac:dyDescent="0.35">
      <c r="D44" s="347" t="s">
        <v>40</v>
      </c>
      <c r="E44" s="94" t="s">
        <v>4</v>
      </c>
      <c r="F44" s="94" t="s">
        <v>19</v>
      </c>
      <c r="G44" s="94"/>
      <c r="H44" s="341">
        <v>17760232</v>
      </c>
      <c r="I44" s="341"/>
      <c r="J44" s="237">
        <v>0</v>
      </c>
      <c r="K44" s="380">
        <f t="shared" si="0"/>
        <v>0</v>
      </c>
      <c r="L44" s="68">
        <f>IF(ISNUMBER(J44*H44),H44*J44,"0")</f>
        <v>0</v>
      </c>
      <c r="M44" s="68">
        <f>IF(AND(NOT($P44),$J44="mix"),$H44,0)</f>
        <v>0</v>
      </c>
      <c r="N44" s="68" t="b">
        <f>AND(P44,J44&gt;0)</f>
        <v>0</v>
      </c>
      <c r="O44" s="68">
        <f>IF(AND(NOT($P44),$J44="inc"),$H44,0)</f>
        <v>0</v>
      </c>
      <c r="P44" s="68" t="b">
        <f>NOT(ISNUMBER($H44))</f>
        <v>0</v>
      </c>
      <c r="Q44" s="68">
        <f>IF(AND(NOT(ISNUMBER(J44)),O44+N44+M44+L44=0),H44,0)</f>
        <v>0</v>
      </c>
    </row>
    <row r="45" spans="2:20" outlineLevel="1" x14ac:dyDescent="0.35">
      <c r="D45" s="347" t="s">
        <v>39</v>
      </c>
      <c r="E45" s="94" t="s">
        <v>4</v>
      </c>
      <c r="F45" s="94" t="s">
        <v>32</v>
      </c>
      <c r="G45" s="94"/>
      <c r="H45" s="341">
        <v>1901277</v>
      </c>
      <c r="I45" s="341"/>
      <c r="J45" s="237">
        <v>1</v>
      </c>
      <c r="K45" s="380">
        <f t="shared" si="0"/>
        <v>1</v>
      </c>
      <c r="L45" s="68">
        <f>IF(ISNUMBER(J45*H45),H45*J45,"0")</f>
        <v>1901277</v>
      </c>
      <c r="M45" s="68">
        <f>IF(AND(NOT($P45),$J45="mix"),$H45,0)</f>
        <v>0</v>
      </c>
      <c r="N45" s="68" t="b">
        <f>AND(P45,J45&gt;0)</f>
        <v>0</v>
      </c>
      <c r="O45" s="68">
        <f>IF(AND(NOT($P45),$J45="inc"),$H45,0)</f>
        <v>0</v>
      </c>
      <c r="P45" s="68" t="b">
        <f>NOT(ISNUMBER($H45))</f>
        <v>0</v>
      </c>
      <c r="Q45" s="68">
        <f>IF(AND(NOT(ISNUMBER(J45)),O45+N45+M45+L45=0),H45,0)</f>
        <v>0</v>
      </c>
    </row>
    <row r="46" spans="2:20" s="24" customFormat="1" x14ac:dyDescent="0.35">
      <c r="D46" s="286" t="s">
        <v>38</v>
      </c>
      <c r="E46" s="100" t="s">
        <v>4</v>
      </c>
      <c r="F46" s="100"/>
      <c r="G46" s="100"/>
      <c r="H46" s="339">
        <f>SUM(H47:H47)</f>
        <v>7500000</v>
      </c>
      <c r="I46" s="339"/>
      <c r="J46" s="342"/>
      <c r="K46" s="380"/>
      <c r="L46" s="96"/>
      <c r="M46" s="96"/>
      <c r="N46" s="96"/>
      <c r="O46" s="96"/>
      <c r="P46" s="339"/>
      <c r="Q46" s="339"/>
    </row>
    <row r="47" spans="2:20" x14ac:dyDescent="0.35">
      <c r="D47" s="15" t="s">
        <v>37</v>
      </c>
      <c r="E47" s="94" t="s">
        <v>4</v>
      </c>
      <c r="F47" s="94" t="s">
        <v>19</v>
      </c>
      <c r="G47" s="94"/>
      <c r="H47" s="341">
        <v>7500000</v>
      </c>
      <c r="I47" s="341"/>
      <c r="J47" s="237" t="s">
        <v>27</v>
      </c>
      <c r="K47" s="380">
        <f t="shared" si="0"/>
        <v>1</v>
      </c>
      <c r="L47" s="68" t="str">
        <f>IF(ISNUMBER(J47*H47),H47*J47,"0")</f>
        <v>0</v>
      </c>
      <c r="M47" s="68">
        <f>IF(AND(NOT($P47),$J47="mix"),$H47,0)</f>
        <v>7500000</v>
      </c>
      <c r="N47" s="68" t="b">
        <f>AND(P47,J47&gt;0)</f>
        <v>0</v>
      </c>
      <c r="O47" s="68">
        <f>IF(AND(NOT($P47),$J47="inc"),$H47,0)</f>
        <v>0</v>
      </c>
      <c r="P47" s="68" t="b">
        <f>NOT(ISNUMBER($H47))</f>
        <v>0</v>
      </c>
      <c r="Q47" s="68">
        <f>IF(AND(NOT(ISNUMBER(J47)),O47+N47+M47+L47=0),H47,0)</f>
        <v>0</v>
      </c>
    </row>
    <row r="48" spans="2:20" x14ac:dyDescent="0.35">
      <c r="B48" s="24"/>
      <c r="C48" s="24"/>
      <c r="D48" s="73" t="s">
        <v>36</v>
      </c>
      <c r="E48" s="73" t="s">
        <v>35</v>
      </c>
      <c r="F48" s="73"/>
      <c r="G48" s="73"/>
      <c r="H48" s="83">
        <f>SUM(H49:H55)</f>
        <v>811000000</v>
      </c>
      <c r="I48" s="83"/>
      <c r="J48" s="333"/>
      <c r="K48" s="333"/>
      <c r="L48" s="83">
        <f>SUM(L49:L55)</f>
        <v>615000000</v>
      </c>
      <c r="M48" s="83">
        <f>SUM(M49:M55)</f>
        <v>5000000</v>
      </c>
      <c r="N48" s="83">
        <f>IF(J48="inclassable",H48,0)</f>
        <v>0</v>
      </c>
      <c r="O48" s="83">
        <f>IF(J48="à classer",H48,0)</f>
        <v>0</v>
      </c>
      <c r="P48" s="83"/>
      <c r="Q48" s="83"/>
      <c r="R48" s="24"/>
      <c r="S48" s="24"/>
      <c r="T48" s="24"/>
    </row>
    <row r="49" spans="2:20" x14ac:dyDescent="0.35">
      <c r="C49" s="225"/>
      <c r="D49" s="137" t="s">
        <v>34</v>
      </c>
      <c r="E49" s="42">
        <v>720201</v>
      </c>
      <c r="F49" s="42" t="s">
        <v>25</v>
      </c>
      <c r="G49" s="42"/>
      <c r="H49" s="79">
        <v>3000000</v>
      </c>
      <c r="I49" s="79"/>
      <c r="J49" s="237" t="s">
        <v>27</v>
      </c>
      <c r="K49" s="380">
        <f t="shared" si="0"/>
        <v>1</v>
      </c>
      <c r="L49" s="68" t="str">
        <f t="shared" ref="L49:L56" si="18">IF(ISNUMBER(J49*H49),H49*J49,"0")</f>
        <v>0</v>
      </c>
      <c r="M49" s="68">
        <f t="shared" ref="M49:M56" si="19">IF(AND(NOT($P49),$J49="mix"),$H49,0)</f>
        <v>3000000</v>
      </c>
      <c r="N49" s="68" t="b">
        <f t="shared" ref="N49:N56" si="20">AND(P49,J49&gt;0)</f>
        <v>0</v>
      </c>
      <c r="O49" s="68">
        <f t="shared" ref="O49:O56" si="21">IF(AND(NOT($P49),$J49="inc"),$H49,0)</f>
        <v>0</v>
      </c>
      <c r="P49" s="68" t="b">
        <f t="shared" ref="P49:P56" si="22">NOT(ISNUMBER($H49))</f>
        <v>0</v>
      </c>
      <c r="Q49" s="68">
        <f t="shared" ref="Q49:Q56" si="23">IF(AND(NOT(ISNUMBER(J49)),O49+N49+M49+L49=0),H49,0)</f>
        <v>0</v>
      </c>
    </row>
    <row r="50" spans="2:20" x14ac:dyDescent="0.35">
      <c r="D50" s="348" t="s">
        <v>33</v>
      </c>
      <c r="E50" s="42">
        <v>710108</v>
      </c>
      <c r="F50" s="42" t="s">
        <v>32</v>
      </c>
      <c r="G50" s="42"/>
      <c r="H50" s="79" t="s">
        <v>24</v>
      </c>
      <c r="I50" s="79"/>
      <c r="J50" s="237">
        <v>1</v>
      </c>
      <c r="K50" s="380">
        <f t="shared" si="0"/>
        <v>1</v>
      </c>
      <c r="L50" s="68" t="str">
        <f t="shared" si="18"/>
        <v>0</v>
      </c>
      <c r="M50" s="68">
        <f t="shared" si="19"/>
        <v>0</v>
      </c>
      <c r="N50" s="68" t="b">
        <f t="shared" si="20"/>
        <v>1</v>
      </c>
      <c r="O50" s="68">
        <f t="shared" si="21"/>
        <v>0</v>
      </c>
      <c r="P50" s="68" t="b">
        <f t="shared" si="22"/>
        <v>1</v>
      </c>
      <c r="Q50" s="68">
        <f t="shared" si="23"/>
        <v>0</v>
      </c>
    </row>
    <row r="51" spans="2:20" x14ac:dyDescent="0.35">
      <c r="D51" s="137" t="s">
        <v>26</v>
      </c>
      <c r="E51" s="42">
        <v>710101</v>
      </c>
      <c r="F51" s="42" t="s">
        <v>25</v>
      </c>
      <c r="G51" s="42"/>
      <c r="H51" s="79" t="s">
        <v>24</v>
      </c>
      <c r="I51" s="79"/>
      <c r="J51" s="349">
        <v>1</v>
      </c>
      <c r="K51" s="380">
        <f t="shared" si="0"/>
        <v>1</v>
      </c>
      <c r="L51" s="68" t="str">
        <f t="shared" si="18"/>
        <v>0</v>
      </c>
      <c r="M51" s="68">
        <f t="shared" si="19"/>
        <v>0</v>
      </c>
      <c r="N51" s="68" t="b">
        <f t="shared" si="20"/>
        <v>1</v>
      </c>
      <c r="O51" s="68">
        <f t="shared" si="21"/>
        <v>0</v>
      </c>
      <c r="P51" s="68" t="b">
        <f t="shared" si="22"/>
        <v>1</v>
      </c>
      <c r="Q51" s="68">
        <f t="shared" si="23"/>
        <v>0</v>
      </c>
    </row>
    <row r="52" spans="2:20" x14ac:dyDescent="0.35">
      <c r="D52" s="137" t="s">
        <v>31</v>
      </c>
      <c r="E52" s="42">
        <v>230103</v>
      </c>
      <c r="F52" s="42" t="s">
        <v>16</v>
      </c>
      <c r="G52" s="42"/>
      <c r="H52" s="79" t="s">
        <v>24</v>
      </c>
      <c r="I52" s="79"/>
      <c r="J52" s="237">
        <v>1</v>
      </c>
      <c r="K52" s="380">
        <f t="shared" si="0"/>
        <v>1</v>
      </c>
      <c r="L52" s="68" t="str">
        <f t="shared" si="18"/>
        <v>0</v>
      </c>
      <c r="M52" s="68">
        <f t="shared" si="19"/>
        <v>0</v>
      </c>
      <c r="N52" s="68" t="b">
        <f t="shared" si="20"/>
        <v>1</v>
      </c>
      <c r="O52" s="68">
        <f t="shared" si="21"/>
        <v>0</v>
      </c>
      <c r="P52" s="68" t="b">
        <f t="shared" si="22"/>
        <v>1</v>
      </c>
      <c r="Q52" s="68">
        <f t="shared" si="23"/>
        <v>0</v>
      </c>
    </row>
    <row r="53" spans="2:20" x14ac:dyDescent="0.35">
      <c r="D53" s="137" t="s">
        <v>30</v>
      </c>
      <c r="E53" s="42">
        <v>300101</v>
      </c>
      <c r="F53" s="42" t="s">
        <v>19</v>
      </c>
      <c r="G53" s="42"/>
      <c r="H53" s="79">
        <v>191000000</v>
      </c>
      <c r="I53" s="79"/>
      <c r="J53" s="237">
        <v>0</v>
      </c>
      <c r="K53" s="380">
        <f t="shared" si="0"/>
        <v>0</v>
      </c>
      <c r="L53" s="68">
        <f t="shared" si="18"/>
        <v>0</v>
      </c>
      <c r="M53" s="68">
        <f t="shared" si="19"/>
        <v>0</v>
      </c>
      <c r="N53" s="68" t="b">
        <f t="shared" si="20"/>
        <v>0</v>
      </c>
      <c r="O53" s="68">
        <f t="shared" si="21"/>
        <v>0</v>
      </c>
      <c r="P53" s="68" t="b">
        <f t="shared" si="22"/>
        <v>0</v>
      </c>
      <c r="Q53" s="68">
        <f t="shared" si="23"/>
        <v>0</v>
      </c>
    </row>
    <row r="54" spans="2:20" x14ac:dyDescent="0.35">
      <c r="D54" s="137" t="s">
        <v>29</v>
      </c>
      <c r="E54" s="42">
        <v>320119</v>
      </c>
      <c r="F54" s="42" t="s">
        <v>25</v>
      </c>
      <c r="G54" s="42"/>
      <c r="H54" s="79">
        <v>615000000</v>
      </c>
      <c r="I54" s="79"/>
      <c r="J54" s="237">
        <v>1</v>
      </c>
      <c r="K54" s="380">
        <f t="shared" si="0"/>
        <v>1</v>
      </c>
      <c r="L54" s="68">
        <f t="shared" si="18"/>
        <v>615000000</v>
      </c>
      <c r="M54" s="68">
        <f t="shared" si="19"/>
        <v>0</v>
      </c>
      <c r="N54" s="68" t="b">
        <f t="shared" si="20"/>
        <v>0</v>
      </c>
      <c r="O54" s="68">
        <f t="shared" si="21"/>
        <v>0</v>
      </c>
      <c r="P54" s="68" t="b">
        <f t="shared" si="22"/>
        <v>0</v>
      </c>
      <c r="Q54" s="68">
        <f t="shared" si="23"/>
        <v>0</v>
      </c>
    </row>
    <row r="55" spans="2:20" x14ac:dyDescent="0.35">
      <c r="D55" s="137" t="s">
        <v>28</v>
      </c>
      <c r="E55" s="42">
        <v>720206</v>
      </c>
      <c r="F55" s="42" t="s">
        <v>19</v>
      </c>
      <c r="G55" s="42"/>
      <c r="H55" s="79">
        <v>2000000</v>
      </c>
      <c r="I55" s="79"/>
      <c r="J55" s="237" t="s">
        <v>27</v>
      </c>
      <c r="K55" s="380">
        <f t="shared" si="0"/>
        <v>1</v>
      </c>
      <c r="L55" s="68" t="str">
        <f t="shared" si="18"/>
        <v>0</v>
      </c>
      <c r="M55" s="68">
        <f t="shared" si="19"/>
        <v>2000000</v>
      </c>
      <c r="N55" s="68" t="b">
        <f t="shared" si="20"/>
        <v>0</v>
      </c>
      <c r="O55" s="68">
        <f t="shared" si="21"/>
        <v>0</v>
      </c>
      <c r="P55" s="68" t="b">
        <f t="shared" si="22"/>
        <v>0</v>
      </c>
      <c r="Q55" s="68">
        <f t="shared" si="23"/>
        <v>0</v>
      </c>
    </row>
    <row r="56" spans="2:20" x14ac:dyDescent="0.35">
      <c r="D56" s="137" t="s">
        <v>26</v>
      </c>
      <c r="E56" s="137">
        <v>710101</v>
      </c>
      <c r="F56" s="42" t="s">
        <v>25</v>
      </c>
      <c r="G56" s="42"/>
      <c r="H56" s="79" t="s">
        <v>24</v>
      </c>
      <c r="I56" s="79"/>
      <c r="J56" s="237">
        <v>1</v>
      </c>
      <c r="K56" s="380">
        <f t="shared" si="0"/>
        <v>1</v>
      </c>
      <c r="L56" s="68" t="str">
        <f t="shared" si="18"/>
        <v>0</v>
      </c>
      <c r="M56" s="68">
        <f t="shared" si="19"/>
        <v>0</v>
      </c>
      <c r="N56" s="68" t="b">
        <f t="shared" si="20"/>
        <v>1</v>
      </c>
      <c r="O56" s="68">
        <f t="shared" si="21"/>
        <v>0</v>
      </c>
      <c r="P56" s="68" t="b">
        <f t="shared" si="22"/>
        <v>1</v>
      </c>
      <c r="Q56" s="68">
        <f t="shared" si="23"/>
        <v>0</v>
      </c>
    </row>
    <row r="57" spans="2:20" x14ac:dyDescent="0.35">
      <c r="B57" s="24"/>
      <c r="C57" s="24"/>
      <c r="D57" s="73" t="s">
        <v>23</v>
      </c>
      <c r="E57" s="73"/>
      <c r="F57" s="73"/>
      <c r="G57" s="73"/>
      <c r="H57" s="83">
        <f>H58</f>
        <v>149000000</v>
      </c>
      <c r="I57" s="83"/>
      <c r="J57" s="350"/>
      <c r="K57" s="350"/>
      <c r="L57" s="83">
        <f t="shared" ref="L57:Q57" si="24">SUM(L58,L59)</f>
        <v>121000000</v>
      </c>
      <c r="M57" s="83">
        <f t="shared" si="24"/>
        <v>0</v>
      </c>
      <c r="N57" s="83">
        <f t="shared" si="24"/>
        <v>0</v>
      </c>
      <c r="O57" s="83">
        <f t="shared" si="24"/>
        <v>0</v>
      </c>
      <c r="P57" s="83">
        <f t="shared" si="24"/>
        <v>0</v>
      </c>
      <c r="Q57" s="83">
        <f t="shared" si="24"/>
        <v>0</v>
      </c>
      <c r="R57" s="24"/>
      <c r="S57" s="24"/>
      <c r="T57" s="24"/>
    </row>
    <row r="58" spans="2:20" x14ac:dyDescent="0.35">
      <c r="D58" s="137" t="s">
        <v>22</v>
      </c>
      <c r="E58" s="42"/>
      <c r="F58" s="42" t="s">
        <v>19</v>
      </c>
      <c r="G58" s="42"/>
      <c r="H58" s="79">
        <v>149000000</v>
      </c>
      <c r="I58" s="79"/>
      <c r="J58" s="237" t="s">
        <v>94</v>
      </c>
      <c r="K58" s="380">
        <f t="shared" si="0"/>
        <v>1</v>
      </c>
      <c r="L58" s="68">
        <v>121000000</v>
      </c>
      <c r="M58" s="68">
        <f>IF(AND(NOT($P58),$J58="mix"),$H58,0)</f>
        <v>0</v>
      </c>
      <c r="N58" s="68" t="b">
        <f>AND(P58,J58&gt;0)</f>
        <v>0</v>
      </c>
      <c r="O58" s="68">
        <f>IF(AND(NOT($P58),$J58="inc"),$H58,0)</f>
        <v>0</v>
      </c>
      <c r="P58" s="68" t="b">
        <f>NOT(ISNUMBER($H58))</f>
        <v>0</v>
      </c>
      <c r="Q58" s="68">
        <f>IF(AND(NOT(ISNUMBER(J58)),O58+N58+M58+L58=0),H58,0)</f>
        <v>0</v>
      </c>
    </row>
    <row r="59" spans="2:20" x14ac:dyDescent="0.35">
      <c r="D59" s="351" t="s">
        <v>21</v>
      </c>
      <c r="E59" s="42"/>
      <c r="F59" s="42" t="s">
        <v>16</v>
      </c>
      <c r="G59" s="42"/>
      <c r="H59" s="79">
        <v>78000000</v>
      </c>
      <c r="I59" s="79"/>
      <c r="J59" s="237">
        <v>0</v>
      </c>
      <c r="K59" s="380">
        <f t="shared" si="0"/>
        <v>0</v>
      </c>
      <c r="L59" s="68">
        <f>IF(ISNUMBER(J59*H59),H59*J59,"0")</f>
        <v>0</v>
      </c>
      <c r="M59" s="68">
        <f>IF(AND(NOT($P59),$J59="mix"),$H59,0)</f>
        <v>0</v>
      </c>
      <c r="N59" s="68" t="b">
        <f>AND(P59,J59&gt;0)</f>
        <v>0</v>
      </c>
      <c r="O59" s="68">
        <f>IF(AND(NOT($P59),$J59="inc"),$H59,0)</f>
        <v>0</v>
      </c>
      <c r="P59" s="68" t="b">
        <f>NOT(ISNUMBER($H59))</f>
        <v>0</v>
      </c>
      <c r="Q59" s="68">
        <f>IF(AND(NOT(ISNUMBER(J59)),O59+N59+M59+L59=0),H59,0)</f>
        <v>0</v>
      </c>
    </row>
    <row r="60" spans="2:20" x14ac:dyDescent="0.35">
      <c r="B60" s="24"/>
      <c r="C60" s="24"/>
      <c r="D60" s="73" t="s">
        <v>2</v>
      </c>
      <c r="E60" s="73"/>
      <c r="F60" s="73"/>
      <c r="G60" s="73"/>
      <c r="H60" s="83">
        <f>SUM(H61:H63)</f>
        <v>427519494</v>
      </c>
      <c r="I60" s="83"/>
      <c r="J60" s="333"/>
      <c r="K60" s="333"/>
      <c r="L60" s="83">
        <f>SUM(L61:L63)</f>
        <v>0</v>
      </c>
      <c r="M60" s="83">
        <f>SUM(M61:M63)</f>
        <v>0</v>
      </c>
      <c r="N60" s="83"/>
      <c r="O60" s="83">
        <f>SUM(O61:O63)</f>
        <v>0</v>
      </c>
      <c r="P60" s="83">
        <f>SUM(P61:P63)</f>
        <v>0</v>
      </c>
      <c r="Q60" s="83">
        <f>SUM(Q61:Q63)</f>
        <v>0</v>
      </c>
      <c r="R60" s="24"/>
      <c r="S60" s="24"/>
      <c r="T60" s="24"/>
    </row>
    <row r="61" spans="2:20" x14ac:dyDescent="0.35">
      <c r="D61" s="42" t="s">
        <v>20</v>
      </c>
      <c r="E61" s="42"/>
      <c r="F61" s="42" t="s">
        <v>19</v>
      </c>
      <c r="G61" s="42"/>
      <c r="H61" s="79">
        <v>5619494</v>
      </c>
      <c r="I61" s="79"/>
      <c r="J61" s="237">
        <v>0</v>
      </c>
      <c r="K61" s="380">
        <f t="shared" si="0"/>
        <v>0</v>
      </c>
      <c r="L61" s="68">
        <f>IF(ISNUMBER(J61*H61),H61*J61,"0")</f>
        <v>0</v>
      </c>
      <c r="M61" s="68">
        <f>IF(AND(NOT($P61),$J61="mix"),$H61,0)</f>
        <v>0</v>
      </c>
      <c r="N61" s="68" t="b">
        <f>AND(P61,J61&gt;0)</f>
        <v>0</v>
      </c>
      <c r="O61" s="68">
        <f>IF(AND(NOT($P61),$J61="inc"),$H61,0)</f>
        <v>0</v>
      </c>
      <c r="P61" s="68" t="b">
        <f>NOT(ISNUMBER($H61))</f>
        <v>0</v>
      </c>
      <c r="Q61" s="68">
        <f>IF(AND(NOT(ISNUMBER(J61)),O61+N61+M61+L61=0),H61,0)</f>
        <v>0</v>
      </c>
    </row>
    <row r="62" spans="2:20" x14ac:dyDescent="0.35">
      <c r="D62" s="42" t="s">
        <v>18</v>
      </c>
      <c r="E62" s="42"/>
      <c r="F62" s="42" t="s">
        <v>16</v>
      </c>
      <c r="G62" s="42"/>
      <c r="H62" s="79">
        <v>421900000</v>
      </c>
      <c r="I62" s="79"/>
      <c r="J62" s="237">
        <v>0</v>
      </c>
      <c r="K62" s="380">
        <f t="shared" si="0"/>
        <v>0</v>
      </c>
      <c r="L62" s="68"/>
      <c r="M62" s="68"/>
      <c r="N62" s="68"/>
      <c r="O62" s="68"/>
      <c r="P62" s="68"/>
      <c r="Q62" s="68"/>
    </row>
    <row r="63" spans="2:20" x14ac:dyDescent="0.35">
      <c r="D63" s="42" t="s">
        <v>17</v>
      </c>
      <c r="E63" s="42"/>
      <c r="F63" s="42" t="s">
        <v>16</v>
      </c>
      <c r="G63" s="42"/>
      <c r="H63" s="79">
        <v>0</v>
      </c>
      <c r="I63" s="79"/>
      <c r="J63" s="237">
        <v>0</v>
      </c>
      <c r="K63" s="380">
        <f t="shared" si="0"/>
        <v>0</v>
      </c>
      <c r="L63" s="68">
        <f>IF(ISNUMBER(J63*H63),H63*J63,"0")</f>
        <v>0</v>
      </c>
      <c r="M63" s="68">
        <f>IF(AND(NOT($P63),$J63="mix"),$H63,0)</f>
        <v>0</v>
      </c>
      <c r="N63" s="68" t="b">
        <f>AND(P63,J63&gt;0)</f>
        <v>0</v>
      </c>
      <c r="O63" s="68">
        <f>IF(AND(NOT($P63),$J63="inc"),$H63,0)</f>
        <v>0</v>
      </c>
      <c r="P63" s="68" t="b">
        <f>NOT(ISNUMBER($H63))</f>
        <v>0</v>
      </c>
      <c r="Q63" s="68">
        <f>IF(AND(NOT(ISNUMBER(J63)),O63+N63+M63+L63=0),H63,0)</f>
        <v>0</v>
      </c>
    </row>
    <row r="64" spans="2:20" x14ac:dyDescent="0.35">
      <c r="D64" s="11"/>
      <c r="K64" s="30"/>
    </row>
    <row r="65" spans="2:24" x14ac:dyDescent="0.35">
      <c r="B65" s="23">
        <v>2</v>
      </c>
      <c r="C65" s="1" t="s">
        <v>1</v>
      </c>
      <c r="D65" s="22" t="s">
        <v>15</v>
      </c>
      <c r="E65" s="21"/>
      <c r="F65" s="21"/>
      <c r="G65" s="21"/>
      <c r="H65" s="21"/>
      <c r="I65" s="21"/>
      <c r="J65" s="29"/>
      <c r="K65" s="29"/>
      <c r="L65" s="21"/>
      <c r="M65" s="21"/>
      <c r="N65" s="21"/>
      <c r="O65" s="21"/>
      <c r="P65" s="21"/>
      <c r="Q65" s="21"/>
      <c r="R65" s="21"/>
      <c r="S65" s="21"/>
      <c r="T65" s="21"/>
      <c r="U65" s="21"/>
      <c r="V65" s="21"/>
      <c r="W65" s="21"/>
      <c r="X65" s="21"/>
    </row>
    <row r="66" spans="2:24" ht="72" x14ac:dyDescent="0.35">
      <c r="H66" s="20" t="s">
        <v>14</v>
      </c>
      <c r="I66" s="20"/>
      <c r="J66" s="31" t="s">
        <v>999</v>
      </c>
      <c r="K66" s="31"/>
      <c r="L66" s="19" t="s">
        <v>1002</v>
      </c>
      <c r="M66" s="19" t="s">
        <v>1003</v>
      </c>
      <c r="N66" s="19" t="s">
        <v>1004</v>
      </c>
      <c r="O66" s="19" t="s">
        <v>9</v>
      </c>
      <c r="P66" s="19" t="s">
        <v>8</v>
      </c>
      <c r="Q66" s="19" t="s">
        <v>7</v>
      </c>
    </row>
    <row r="67" spans="2:24" x14ac:dyDescent="0.35">
      <c r="D67" s="18" t="s">
        <v>6</v>
      </c>
      <c r="E67" s="17"/>
      <c r="F67" s="17"/>
      <c r="G67" s="17"/>
      <c r="H67" s="16">
        <f>H68</f>
        <v>69.684828142857143</v>
      </c>
      <c r="I67" s="7"/>
      <c r="J67" s="32">
        <f t="shared" ref="J67:J72" si="25">L67/H67</f>
        <v>0</v>
      </c>
      <c r="K67" s="32"/>
      <c r="L67" s="7">
        <f>L68</f>
        <v>0</v>
      </c>
      <c r="M67" s="7">
        <f>M68</f>
        <v>30.906081714285712</v>
      </c>
      <c r="N67" s="9">
        <f>N68</f>
        <v>1</v>
      </c>
      <c r="O67" s="7">
        <f>O68</f>
        <v>0</v>
      </c>
      <c r="P67" s="8">
        <f t="shared" ref="P67:P72" si="26">M67/H67</f>
        <v>0.44351234749301249</v>
      </c>
      <c r="Q67" s="7">
        <f>Q68</f>
        <v>0</v>
      </c>
    </row>
    <row r="68" spans="2:24" x14ac:dyDescent="0.35">
      <c r="D68" s="15" t="s">
        <v>5</v>
      </c>
      <c r="E68" s="14"/>
      <c r="F68" s="14"/>
      <c r="G68" s="14"/>
      <c r="H68" s="12">
        <f>H7/1000000</f>
        <v>69.684828142857143</v>
      </c>
      <c r="I68" s="12"/>
      <c r="J68" s="33">
        <f t="shared" si="25"/>
        <v>0</v>
      </c>
      <c r="K68" s="33"/>
      <c r="L68" s="12">
        <f>L7/1000000</f>
        <v>0</v>
      </c>
      <c r="M68" s="12">
        <f>M7/1000000</f>
        <v>30.906081714285712</v>
      </c>
      <c r="N68" s="13">
        <f>N7</f>
        <v>1</v>
      </c>
      <c r="O68" s="12">
        <f>O7/1000000</f>
        <v>0</v>
      </c>
      <c r="P68" s="8">
        <f t="shared" si="26"/>
        <v>0.44351234749301249</v>
      </c>
      <c r="Q68" s="12">
        <f>Q7/1000000</f>
        <v>0</v>
      </c>
    </row>
    <row r="69" spans="2:24" x14ac:dyDescent="0.35">
      <c r="D69" s="11" t="s">
        <v>4</v>
      </c>
      <c r="E69" s="10"/>
      <c r="F69" s="10"/>
      <c r="G69" s="10"/>
      <c r="H69" s="7">
        <f>H21/1000000</f>
        <v>962.61660288428573</v>
      </c>
      <c r="I69" s="7"/>
      <c r="J69" s="32">
        <f t="shared" si="25"/>
        <v>1.9751134504674122E-3</v>
      </c>
      <c r="K69" s="32"/>
      <c r="L69" s="7">
        <f>L21/1000000</f>
        <v>1.9012770000000001</v>
      </c>
      <c r="M69" s="7">
        <f>M21/1000000</f>
        <v>13.280374646853224</v>
      </c>
      <c r="N69" s="9">
        <f>N21</f>
        <v>0</v>
      </c>
      <c r="O69" s="7">
        <f>O21/1000000</f>
        <v>0</v>
      </c>
      <c r="P69" s="8">
        <f t="shared" si="26"/>
        <v>1.3796120498089551E-2</v>
      </c>
      <c r="Q69" s="7">
        <f>Q21/1000000</f>
        <v>0</v>
      </c>
    </row>
    <row r="70" spans="2:24" x14ac:dyDescent="0.35">
      <c r="D70" s="11" t="s">
        <v>3</v>
      </c>
      <c r="E70" s="10"/>
      <c r="F70" s="10"/>
      <c r="G70" s="10"/>
      <c r="H70" s="7">
        <f>(H48+H57)/1000000</f>
        <v>960</v>
      </c>
      <c r="I70" s="7"/>
      <c r="J70" s="32">
        <f t="shared" si="25"/>
        <v>0.76666666666666672</v>
      </c>
      <c r="K70" s="32"/>
      <c r="L70" s="7">
        <f>(L48+L57)/1000000</f>
        <v>736</v>
      </c>
      <c r="M70" s="7">
        <f>(M48+M57)/1000000</f>
        <v>5</v>
      </c>
      <c r="N70" s="7">
        <f>(N48+N57)/1000000</f>
        <v>0</v>
      </c>
      <c r="O70" s="7">
        <f>(O48+O57)/1000000</f>
        <v>0</v>
      </c>
      <c r="P70" s="8">
        <f t="shared" si="26"/>
        <v>5.208333333333333E-3</v>
      </c>
      <c r="Q70" s="7">
        <f>(Q48+Q57)/1000000</f>
        <v>0</v>
      </c>
    </row>
    <row r="71" spans="2:24" x14ac:dyDescent="0.35">
      <c r="D71" s="11" t="s">
        <v>2</v>
      </c>
      <c r="E71" s="10"/>
      <c r="F71" s="10"/>
      <c r="G71" s="10"/>
      <c r="H71" s="7">
        <f>H60/1000000</f>
        <v>427.51949400000001</v>
      </c>
      <c r="I71" s="7"/>
      <c r="J71" s="32">
        <f t="shared" si="25"/>
        <v>0</v>
      </c>
      <c r="K71" s="32"/>
      <c r="L71" s="7">
        <f>L60/1000000</f>
        <v>0</v>
      </c>
      <c r="M71" s="7">
        <f>M60/1000000</f>
        <v>0</v>
      </c>
      <c r="N71" s="9">
        <f>N60</f>
        <v>0</v>
      </c>
      <c r="O71" s="7">
        <f>O60/1000000</f>
        <v>0</v>
      </c>
      <c r="P71" s="8">
        <f t="shared" si="26"/>
        <v>0</v>
      </c>
      <c r="Q71" s="7">
        <f>Q60/1000000</f>
        <v>0</v>
      </c>
    </row>
    <row r="72" spans="2:24" x14ac:dyDescent="0.35">
      <c r="C72" s="1" t="s">
        <v>1</v>
      </c>
      <c r="D72" s="6" t="s">
        <v>0</v>
      </c>
      <c r="E72" s="5"/>
      <c r="F72" s="5"/>
      <c r="G72" s="5"/>
      <c r="H72" s="2">
        <f>SUM(H69:H71)+H67</f>
        <v>2419.8209250271429</v>
      </c>
      <c r="I72" s="2"/>
      <c r="J72" s="34">
        <f t="shared" si="25"/>
        <v>0.30494044801754205</v>
      </c>
      <c r="K72" s="34"/>
      <c r="L72" s="2">
        <f>SUM(L69:L71)+L67</f>
        <v>737.90127700000005</v>
      </c>
      <c r="M72" s="2">
        <f>SUM(M69:M71)+M67</f>
        <v>49.186456361138937</v>
      </c>
      <c r="N72" s="2">
        <f>SUM(N69:N71)+N67</f>
        <v>1</v>
      </c>
      <c r="O72" s="2">
        <f>SUM(O69:O71)+O67</f>
        <v>0</v>
      </c>
      <c r="P72" s="3">
        <f t="shared" si="26"/>
        <v>2.0326486085158229E-2</v>
      </c>
      <c r="Q72" s="2">
        <f>SUM(Q69:Q71)+Q67</f>
        <v>0</v>
      </c>
    </row>
    <row r="73" spans="2:24" x14ac:dyDescent="0.35">
      <c r="K73" s="30"/>
    </row>
    <row r="74" spans="2:24" x14ac:dyDescent="0.35">
      <c r="B74" s="23">
        <v>3</v>
      </c>
      <c r="C74" s="1" t="s">
        <v>1</v>
      </c>
      <c r="D74" s="22" t="s">
        <v>954</v>
      </c>
      <c r="E74" s="21"/>
      <c r="F74" s="52"/>
      <c r="G74" s="21"/>
      <c r="H74" s="21"/>
      <c r="I74" s="52"/>
      <c r="J74" s="52"/>
      <c r="K74" s="52"/>
      <c r="L74" s="52"/>
      <c r="M74" s="52"/>
      <c r="N74" s="52"/>
      <c r="O74" s="21"/>
      <c r="P74" s="21"/>
      <c r="Q74" s="21"/>
      <c r="R74" s="21"/>
      <c r="S74" s="21"/>
      <c r="T74" s="21"/>
      <c r="U74" s="21"/>
      <c r="V74" s="21"/>
      <c r="W74" s="21"/>
      <c r="X74" s="21"/>
    </row>
    <row r="75" spans="2:24" ht="54" x14ac:dyDescent="0.35">
      <c r="H75" s="19" t="s">
        <v>14</v>
      </c>
      <c r="I75" s="19" t="s">
        <v>1005</v>
      </c>
      <c r="J75" s="19" t="s">
        <v>1006</v>
      </c>
      <c r="K75" s="19"/>
      <c r="L75" s="19" t="s">
        <v>1007</v>
      </c>
      <c r="M75" s="19" t="s">
        <v>820</v>
      </c>
    </row>
    <row r="76" spans="2:24" x14ac:dyDescent="0.35">
      <c r="D76" s="65" t="s">
        <v>6</v>
      </c>
      <c r="H76" s="256">
        <f>H67</f>
        <v>69.684828142857143</v>
      </c>
      <c r="I76" s="256">
        <f>L67</f>
        <v>0</v>
      </c>
      <c r="J76" s="257">
        <f>I76/H76</f>
        <v>0</v>
      </c>
      <c r="K76" s="257"/>
      <c r="L76" s="256">
        <f>M67</f>
        <v>30.906081714285712</v>
      </c>
      <c r="M76" s="258">
        <f>L76/H76</f>
        <v>0.44351234749301249</v>
      </c>
    </row>
    <row r="77" spans="2:24" x14ac:dyDescent="0.35">
      <c r="D77" s="42" t="s">
        <v>4</v>
      </c>
      <c r="H77" s="256">
        <f>H69</f>
        <v>962.61660288428573</v>
      </c>
      <c r="I77" s="256">
        <f>L69</f>
        <v>1.9012770000000001</v>
      </c>
      <c r="J77" s="257">
        <f>I77/H77</f>
        <v>1.9751134504674122E-3</v>
      </c>
      <c r="K77" s="257"/>
      <c r="L77" s="256">
        <f>M69</f>
        <v>13.280374646853224</v>
      </c>
      <c r="M77" s="258">
        <f t="shared" ref="M77:M80" si="27">L77/H77</f>
        <v>1.3796120498089551E-2</v>
      </c>
    </row>
    <row r="78" spans="2:24" x14ac:dyDescent="0.35">
      <c r="D78" s="42" t="s">
        <v>3</v>
      </c>
      <c r="H78" s="256">
        <f t="shared" ref="H78:H80" si="28">H70</f>
        <v>960</v>
      </c>
      <c r="I78" s="256">
        <f t="shared" ref="I78:I80" si="29">L70</f>
        <v>736</v>
      </c>
      <c r="J78" s="257">
        <f t="shared" ref="J78:J80" si="30">I78/H78</f>
        <v>0.76666666666666672</v>
      </c>
      <c r="K78" s="257"/>
      <c r="L78" s="256">
        <f t="shared" ref="L78:L80" si="31">M70</f>
        <v>5</v>
      </c>
      <c r="M78" s="258">
        <f t="shared" si="27"/>
        <v>5.208333333333333E-3</v>
      </c>
    </row>
    <row r="79" spans="2:24" x14ac:dyDescent="0.35">
      <c r="D79" s="42" t="s">
        <v>2</v>
      </c>
      <c r="H79" s="256">
        <f t="shared" si="28"/>
        <v>427.51949400000001</v>
      </c>
      <c r="I79" s="256">
        <f t="shared" si="29"/>
        <v>0</v>
      </c>
      <c r="J79" s="257">
        <f t="shared" si="30"/>
        <v>0</v>
      </c>
      <c r="K79" s="257"/>
      <c r="L79" s="256">
        <f t="shared" si="31"/>
        <v>0</v>
      </c>
      <c r="M79" s="258">
        <f t="shared" si="27"/>
        <v>0</v>
      </c>
    </row>
    <row r="80" spans="2:24" x14ac:dyDescent="0.35">
      <c r="D80" s="6" t="s">
        <v>0</v>
      </c>
      <c r="H80" s="259">
        <f t="shared" si="28"/>
        <v>2419.8209250271429</v>
      </c>
      <c r="I80" s="259">
        <f t="shared" si="29"/>
        <v>737.90127700000005</v>
      </c>
      <c r="J80" s="260">
        <f t="shared" si="30"/>
        <v>0.30494044801754205</v>
      </c>
      <c r="K80" s="260"/>
      <c r="L80" s="259">
        <f t="shared" si="31"/>
        <v>49.186456361138937</v>
      </c>
      <c r="M80" s="260">
        <f t="shared" si="27"/>
        <v>2.0326486085158229E-2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C108-7F75-494C-9A2C-888A3529AA26}">
  <dimension ref="A2:FAN337"/>
  <sheetViews>
    <sheetView showGridLines="0" zoomScale="70" zoomScaleNormal="7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5546875" defaultRowHeight="18" x14ac:dyDescent="0.35"/>
  <cols>
    <col min="1" max="3" width="3.21875" style="1" customWidth="1"/>
    <col min="4" max="4" width="98.21875" style="39" customWidth="1"/>
    <col min="5" max="5" width="16.33203125" style="38" customWidth="1"/>
    <col min="6" max="6" width="22.33203125" style="1" customWidth="1"/>
    <col min="7" max="7" width="13.33203125" style="37" customWidth="1"/>
    <col min="8" max="8" width="13" style="36" customWidth="1"/>
    <col min="9" max="14" width="17.109375" style="1" customWidth="1"/>
    <col min="15" max="16384" width="11.5546875" style="1"/>
  </cols>
  <sheetData>
    <row r="2" spans="2:19" ht="21.75" x14ac:dyDescent="0.4">
      <c r="B2" s="27" t="s">
        <v>451</v>
      </c>
      <c r="C2" s="27"/>
      <c r="D2" s="60"/>
      <c r="E2" s="59"/>
      <c r="F2" s="26"/>
      <c r="G2" s="58"/>
      <c r="H2" s="57"/>
      <c r="I2" s="26"/>
      <c r="J2" s="26"/>
      <c r="K2" s="26"/>
      <c r="L2" s="26"/>
      <c r="M2" s="26"/>
      <c r="N2" s="26"/>
      <c r="O2" s="26"/>
      <c r="P2" s="26"/>
      <c r="Q2" s="26"/>
      <c r="R2" s="26"/>
      <c r="S2" s="26"/>
    </row>
    <row r="4" spans="2:19" x14ac:dyDescent="0.35">
      <c r="B4" s="23">
        <v>1</v>
      </c>
      <c r="D4" s="55" t="s">
        <v>92</v>
      </c>
      <c r="E4" s="54"/>
      <c r="F4" s="21"/>
      <c r="G4" s="56"/>
      <c r="H4" s="52"/>
      <c r="I4" s="21"/>
      <c r="J4" s="21"/>
      <c r="K4" s="21"/>
      <c r="L4" s="21"/>
      <c r="M4" s="21"/>
      <c r="N4" s="21"/>
      <c r="O4" s="21"/>
      <c r="P4" s="21"/>
      <c r="Q4" s="21"/>
      <c r="R4" s="21"/>
      <c r="S4" s="21"/>
    </row>
    <row r="5" spans="2:19" x14ac:dyDescent="0.35">
      <c r="H5" s="389">
        <f>COUNT(H7:H314)</f>
        <v>300</v>
      </c>
    </row>
    <row r="6" spans="2:19" s="39" customFormat="1" ht="47.25" x14ac:dyDescent="0.35">
      <c r="D6" s="277" t="s">
        <v>91</v>
      </c>
      <c r="E6" s="439" t="s">
        <v>87</v>
      </c>
      <c r="F6" s="277" t="s">
        <v>90</v>
      </c>
      <c r="G6" s="440" t="s">
        <v>994</v>
      </c>
      <c r="H6" s="389">
        <f>SUM(H7:H314)</f>
        <v>105</v>
      </c>
      <c r="I6" s="277" t="s">
        <v>1008</v>
      </c>
      <c r="J6" s="441" t="s">
        <v>1001</v>
      </c>
      <c r="K6" s="441" t="s">
        <v>86</v>
      </c>
      <c r="L6" s="441" t="s">
        <v>85</v>
      </c>
      <c r="M6" s="441" t="s">
        <v>84</v>
      </c>
      <c r="N6" s="441" t="s">
        <v>83</v>
      </c>
      <c r="O6" s="441"/>
    </row>
    <row r="7" spans="2:19" x14ac:dyDescent="0.35">
      <c r="D7" s="278" t="s">
        <v>116</v>
      </c>
      <c r="E7" s="279">
        <f>SUM(E8:E30)</f>
        <v>1295769458.7199998</v>
      </c>
      <c r="F7" s="73" t="s">
        <v>62</v>
      </c>
      <c r="G7" s="280"/>
      <c r="H7" s="84"/>
      <c r="I7" s="279">
        <f>SUM(I8:I30)</f>
        <v>0</v>
      </c>
      <c r="J7" s="279">
        <f>SUM(J8:J30)</f>
        <v>254824716.73285711</v>
      </c>
      <c r="K7" s="83"/>
      <c r="L7" s="279">
        <f>SUM(L8:L30)</f>
        <v>24531571.428571429</v>
      </c>
      <c r="M7" s="279"/>
      <c r="N7" s="279">
        <f>SUM(N8:N30)</f>
        <v>0</v>
      </c>
    </row>
    <row r="8" spans="2:19" x14ac:dyDescent="0.35">
      <c r="D8" s="35" t="s">
        <v>450</v>
      </c>
      <c r="E8" s="281">
        <v>198525547.90142861</v>
      </c>
      <c r="F8" s="1" t="s">
        <v>62</v>
      </c>
      <c r="G8" s="282">
        <v>0</v>
      </c>
      <c r="H8" s="379"/>
      <c r="I8" s="68">
        <f t="shared" ref="I8:I30" si="0">IF(ISNUMBER(G8*E8),E8*G8,"0")</f>
        <v>0</v>
      </c>
      <c r="J8" s="68">
        <f t="shared" ref="J8:J30" si="1">IF(AND(NOT($M8),$G8="mix"),$E8,0)</f>
        <v>0</v>
      </c>
      <c r="K8" s="68" t="b">
        <f t="shared" ref="K8:K30" si="2">AND(M8,G8&gt;0)</f>
        <v>0</v>
      </c>
      <c r="L8" s="68">
        <f t="shared" ref="L8:L30" si="3">IF(AND(NOT($M8),$G8="inc"),$E8,0)</f>
        <v>0</v>
      </c>
      <c r="M8" s="68" t="b">
        <f t="shared" ref="M8:M30" si="4">NOT(ISNUMBER($E8))</f>
        <v>0</v>
      </c>
      <c r="N8" s="68">
        <f t="shared" ref="N8:N30" si="5">IF(AND(NOT(ISNUMBER(G8)),L8+K8+J8+I8=0),E8,0)</f>
        <v>0</v>
      </c>
    </row>
    <row r="9" spans="2:19" x14ac:dyDescent="0.35">
      <c r="D9" s="35" t="s">
        <v>449</v>
      </c>
      <c r="E9" s="281">
        <v>68383467.505714282</v>
      </c>
      <c r="F9" s="1" t="s">
        <v>62</v>
      </c>
      <c r="G9" s="282">
        <v>0</v>
      </c>
      <c r="H9" s="379">
        <f t="shared" ref="H9:H72" si="6">+IF(G9&lt;&gt;0, 1,0)</f>
        <v>0</v>
      </c>
      <c r="I9" s="68">
        <f t="shared" si="0"/>
        <v>0</v>
      </c>
      <c r="J9" s="68">
        <f t="shared" si="1"/>
        <v>0</v>
      </c>
      <c r="K9" s="68" t="b">
        <f t="shared" si="2"/>
        <v>0</v>
      </c>
      <c r="L9" s="68">
        <f t="shared" si="3"/>
        <v>0</v>
      </c>
      <c r="M9" s="68" t="b">
        <f t="shared" si="4"/>
        <v>0</v>
      </c>
      <c r="N9" s="68">
        <f t="shared" si="5"/>
        <v>0</v>
      </c>
    </row>
    <row r="10" spans="2:19" x14ac:dyDescent="0.35">
      <c r="D10" s="35" t="s">
        <v>448</v>
      </c>
      <c r="E10" s="281">
        <v>222263479.88714287</v>
      </c>
      <c r="F10" s="1" t="s">
        <v>62</v>
      </c>
      <c r="G10" s="282">
        <v>0</v>
      </c>
      <c r="H10" s="380">
        <f t="shared" si="6"/>
        <v>0</v>
      </c>
      <c r="I10" s="68">
        <f t="shared" si="0"/>
        <v>0</v>
      </c>
      <c r="J10" s="68">
        <f t="shared" si="1"/>
        <v>0</v>
      </c>
      <c r="K10" s="68" t="b">
        <f t="shared" si="2"/>
        <v>0</v>
      </c>
      <c r="L10" s="68">
        <f t="shared" si="3"/>
        <v>0</v>
      </c>
      <c r="M10" s="68" t="b">
        <f t="shared" si="4"/>
        <v>0</v>
      </c>
      <c r="N10" s="68">
        <f t="shared" si="5"/>
        <v>0</v>
      </c>
    </row>
    <row r="11" spans="2:19" x14ac:dyDescent="0.35">
      <c r="D11" s="35" t="s">
        <v>447</v>
      </c>
      <c r="E11" s="281">
        <v>7643792.8557142857</v>
      </c>
      <c r="F11" s="1" t="s">
        <v>62</v>
      </c>
      <c r="G11" s="282">
        <v>0</v>
      </c>
      <c r="H11" s="380">
        <f t="shared" si="6"/>
        <v>0</v>
      </c>
      <c r="I11" s="68">
        <f t="shared" si="0"/>
        <v>0</v>
      </c>
      <c r="J11" s="68">
        <f t="shared" si="1"/>
        <v>0</v>
      </c>
      <c r="K11" s="68" t="b">
        <f t="shared" si="2"/>
        <v>0</v>
      </c>
      <c r="L11" s="68">
        <f t="shared" si="3"/>
        <v>0</v>
      </c>
      <c r="M11" s="68" t="b">
        <f t="shared" si="4"/>
        <v>0</v>
      </c>
      <c r="N11" s="68">
        <f t="shared" si="5"/>
        <v>0</v>
      </c>
    </row>
    <row r="12" spans="2:19" x14ac:dyDescent="0.35">
      <c r="D12" s="35" t="s">
        <v>446</v>
      </c>
      <c r="E12" s="281">
        <v>24531571.428571429</v>
      </c>
      <c r="F12" s="1" t="s">
        <v>62</v>
      </c>
      <c r="G12" s="283" t="s">
        <v>264</v>
      </c>
      <c r="H12" s="380"/>
      <c r="I12" s="68" t="str">
        <f t="shared" si="0"/>
        <v>0</v>
      </c>
      <c r="J12" s="68">
        <f t="shared" si="1"/>
        <v>0</v>
      </c>
      <c r="K12" s="68" t="b">
        <f t="shared" si="2"/>
        <v>0</v>
      </c>
      <c r="L12" s="68">
        <f t="shared" si="3"/>
        <v>24531571.428571429</v>
      </c>
      <c r="M12" s="68" t="b">
        <f t="shared" si="4"/>
        <v>0</v>
      </c>
      <c r="N12" s="68">
        <f t="shared" si="5"/>
        <v>0</v>
      </c>
    </row>
    <row r="13" spans="2:19" x14ac:dyDescent="0.35">
      <c r="D13" s="35" t="s">
        <v>445</v>
      </c>
      <c r="E13" s="281">
        <v>118906235.90571427</v>
      </c>
      <c r="F13" s="1" t="s">
        <v>62</v>
      </c>
      <c r="G13" s="282">
        <v>0</v>
      </c>
      <c r="H13" s="380">
        <f t="shared" si="6"/>
        <v>0</v>
      </c>
      <c r="I13" s="68">
        <f t="shared" si="0"/>
        <v>0</v>
      </c>
      <c r="J13" s="68">
        <f t="shared" si="1"/>
        <v>0</v>
      </c>
      <c r="K13" s="68" t="b">
        <f t="shared" si="2"/>
        <v>0</v>
      </c>
      <c r="L13" s="68">
        <f t="shared" si="3"/>
        <v>0</v>
      </c>
      <c r="M13" s="68" t="b">
        <f t="shared" si="4"/>
        <v>0</v>
      </c>
      <c r="N13" s="68">
        <f t="shared" si="5"/>
        <v>0</v>
      </c>
    </row>
    <row r="14" spans="2:19" x14ac:dyDescent="0.35">
      <c r="D14" s="35" t="s">
        <v>444</v>
      </c>
      <c r="E14" s="281">
        <v>64472992.00999999</v>
      </c>
      <c r="F14" s="1" t="s">
        <v>62</v>
      </c>
      <c r="G14" s="284" t="s">
        <v>27</v>
      </c>
      <c r="H14" s="380">
        <f t="shared" si="6"/>
        <v>1</v>
      </c>
      <c r="I14" s="68" t="str">
        <f t="shared" si="0"/>
        <v>0</v>
      </c>
      <c r="J14" s="68">
        <f t="shared" si="1"/>
        <v>64472992.00999999</v>
      </c>
      <c r="K14" s="68" t="b">
        <f t="shared" si="2"/>
        <v>0</v>
      </c>
      <c r="L14" s="68">
        <f t="shared" si="3"/>
        <v>0</v>
      </c>
      <c r="M14" s="68" t="b">
        <f t="shared" si="4"/>
        <v>0</v>
      </c>
      <c r="N14" s="68">
        <f t="shared" si="5"/>
        <v>0</v>
      </c>
    </row>
    <row r="15" spans="2:19" x14ac:dyDescent="0.35">
      <c r="D15" s="35" t="s">
        <v>443</v>
      </c>
      <c r="E15" s="281">
        <v>5494857.1799999997</v>
      </c>
      <c r="F15" s="1" t="s">
        <v>62</v>
      </c>
      <c r="G15" s="282">
        <v>0</v>
      </c>
      <c r="H15" s="380">
        <f t="shared" si="6"/>
        <v>0</v>
      </c>
      <c r="I15" s="68">
        <f t="shared" si="0"/>
        <v>0</v>
      </c>
      <c r="J15" s="68">
        <f t="shared" si="1"/>
        <v>0</v>
      </c>
      <c r="K15" s="68" t="b">
        <f t="shared" si="2"/>
        <v>0</v>
      </c>
      <c r="L15" s="68">
        <f t="shared" si="3"/>
        <v>0</v>
      </c>
      <c r="M15" s="68" t="b">
        <f t="shared" si="4"/>
        <v>0</v>
      </c>
      <c r="N15" s="68">
        <f t="shared" si="5"/>
        <v>0</v>
      </c>
    </row>
    <row r="16" spans="2:19" x14ac:dyDescent="0.35">
      <c r="D16" s="35" t="s">
        <v>442</v>
      </c>
      <c r="E16" s="281">
        <v>71450271.910000011</v>
      </c>
      <c r="F16" s="1" t="s">
        <v>62</v>
      </c>
      <c r="G16" s="282">
        <v>0</v>
      </c>
      <c r="H16" s="380">
        <f t="shared" si="6"/>
        <v>0</v>
      </c>
      <c r="I16" s="68">
        <f t="shared" si="0"/>
        <v>0</v>
      </c>
      <c r="J16" s="68">
        <f t="shared" si="1"/>
        <v>0</v>
      </c>
      <c r="K16" s="68" t="b">
        <f t="shared" si="2"/>
        <v>0</v>
      </c>
      <c r="L16" s="68">
        <f t="shared" si="3"/>
        <v>0</v>
      </c>
      <c r="M16" s="68" t="b">
        <f t="shared" si="4"/>
        <v>0</v>
      </c>
      <c r="N16" s="68">
        <f t="shared" si="5"/>
        <v>0</v>
      </c>
    </row>
    <row r="17" spans="4:14" x14ac:dyDescent="0.35">
      <c r="D17" s="35" t="s">
        <v>441</v>
      </c>
      <c r="E17" s="281">
        <v>56160988.880000003</v>
      </c>
      <c r="F17" s="1" t="s">
        <v>62</v>
      </c>
      <c r="G17" s="282">
        <v>0</v>
      </c>
      <c r="H17" s="380">
        <f t="shared" si="6"/>
        <v>0</v>
      </c>
      <c r="I17" s="68">
        <f t="shared" si="0"/>
        <v>0</v>
      </c>
      <c r="J17" s="68">
        <f t="shared" si="1"/>
        <v>0</v>
      </c>
      <c r="K17" s="68" t="b">
        <f t="shared" si="2"/>
        <v>0</v>
      </c>
      <c r="L17" s="68">
        <f t="shared" si="3"/>
        <v>0</v>
      </c>
      <c r="M17" s="68" t="b">
        <f t="shared" si="4"/>
        <v>0</v>
      </c>
      <c r="N17" s="68">
        <f t="shared" si="5"/>
        <v>0</v>
      </c>
    </row>
    <row r="18" spans="4:14" x14ac:dyDescent="0.35">
      <c r="D18" s="35" t="s">
        <v>440</v>
      </c>
      <c r="E18" s="281">
        <v>45595328.042857133</v>
      </c>
      <c r="F18" s="1" t="s">
        <v>62</v>
      </c>
      <c r="G18" s="282">
        <v>0</v>
      </c>
      <c r="H18" s="380">
        <f t="shared" si="6"/>
        <v>0</v>
      </c>
      <c r="I18" s="68">
        <f t="shared" si="0"/>
        <v>0</v>
      </c>
      <c r="J18" s="68">
        <f t="shared" si="1"/>
        <v>0</v>
      </c>
      <c r="K18" s="68" t="b">
        <f t="shared" si="2"/>
        <v>0</v>
      </c>
      <c r="L18" s="68">
        <f t="shared" si="3"/>
        <v>0</v>
      </c>
      <c r="M18" s="68" t="b">
        <f t="shared" si="4"/>
        <v>0</v>
      </c>
      <c r="N18" s="68">
        <f t="shared" si="5"/>
        <v>0</v>
      </c>
    </row>
    <row r="19" spans="4:14" x14ac:dyDescent="0.35">
      <c r="D19" s="35" t="s">
        <v>439</v>
      </c>
      <c r="E19" s="281">
        <v>52189135.927142859</v>
      </c>
      <c r="F19" s="1" t="s">
        <v>62</v>
      </c>
      <c r="G19" s="282">
        <v>0</v>
      </c>
      <c r="H19" s="380">
        <f t="shared" si="6"/>
        <v>0</v>
      </c>
      <c r="I19" s="68">
        <f t="shared" si="0"/>
        <v>0</v>
      </c>
      <c r="J19" s="68">
        <f t="shared" si="1"/>
        <v>0</v>
      </c>
      <c r="K19" s="68" t="b">
        <f t="shared" si="2"/>
        <v>0</v>
      </c>
      <c r="L19" s="68">
        <f t="shared" si="3"/>
        <v>0</v>
      </c>
      <c r="M19" s="68" t="b">
        <f t="shared" si="4"/>
        <v>0</v>
      </c>
      <c r="N19" s="68">
        <f t="shared" si="5"/>
        <v>0</v>
      </c>
    </row>
    <row r="20" spans="4:14" x14ac:dyDescent="0.35">
      <c r="D20" s="35" t="s">
        <v>438</v>
      </c>
      <c r="E20" s="281">
        <v>86639259.858571425</v>
      </c>
      <c r="F20" s="1" t="s">
        <v>62</v>
      </c>
      <c r="G20" s="282" t="s">
        <v>27</v>
      </c>
      <c r="H20" s="380">
        <f t="shared" si="6"/>
        <v>1</v>
      </c>
      <c r="I20" s="68" t="str">
        <f t="shared" si="0"/>
        <v>0</v>
      </c>
      <c r="J20" s="68">
        <f t="shared" si="1"/>
        <v>86639259.858571425</v>
      </c>
      <c r="K20" s="68" t="b">
        <f t="shared" si="2"/>
        <v>0</v>
      </c>
      <c r="L20" s="68">
        <f t="shared" si="3"/>
        <v>0</v>
      </c>
      <c r="M20" s="68" t="b">
        <f t="shared" si="4"/>
        <v>0</v>
      </c>
      <c r="N20" s="68">
        <f t="shared" si="5"/>
        <v>0</v>
      </c>
    </row>
    <row r="21" spans="4:14" x14ac:dyDescent="0.35">
      <c r="D21" s="35" t="s">
        <v>437</v>
      </c>
      <c r="E21" s="281">
        <v>0</v>
      </c>
      <c r="F21" s="1" t="s">
        <v>62</v>
      </c>
      <c r="G21" s="282">
        <v>0</v>
      </c>
      <c r="H21" s="380">
        <f t="shared" si="6"/>
        <v>0</v>
      </c>
      <c r="I21" s="68">
        <f t="shared" si="0"/>
        <v>0</v>
      </c>
      <c r="J21" s="68">
        <f t="shared" si="1"/>
        <v>0</v>
      </c>
      <c r="K21" s="68" t="b">
        <f t="shared" si="2"/>
        <v>0</v>
      </c>
      <c r="L21" s="68">
        <f t="shared" si="3"/>
        <v>0</v>
      </c>
      <c r="M21" s="68" t="b">
        <f t="shared" si="4"/>
        <v>0</v>
      </c>
      <c r="N21" s="68">
        <f t="shared" si="5"/>
        <v>0</v>
      </c>
    </row>
    <row r="22" spans="4:14" x14ac:dyDescent="0.35">
      <c r="D22" s="35" t="s">
        <v>436</v>
      </c>
      <c r="E22" s="281">
        <v>37458702.857142858</v>
      </c>
      <c r="F22" s="1" t="s">
        <v>62</v>
      </c>
      <c r="G22" s="282" t="s">
        <v>27</v>
      </c>
      <c r="H22" s="380">
        <f t="shared" si="6"/>
        <v>1</v>
      </c>
      <c r="I22" s="68" t="str">
        <f t="shared" si="0"/>
        <v>0</v>
      </c>
      <c r="J22" s="68">
        <f t="shared" si="1"/>
        <v>37458702.857142858</v>
      </c>
      <c r="K22" s="68" t="b">
        <f t="shared" si="2"/>
        <v>0</v>
      </c>
      <c r="L22" s="68">
        <f t="shared" si="3"/>
        <v>0</v>
      </c>
      <c r="M22" s="68" t="b">
        <f t="shared" si="4"/>
        <v>0</v>
      </c>
      <c r="N22" s="68">
        <f t="shared" si="5"/>
        <v>0</v>
      </c>
    </row>
    <row r="23" spans="4:14" x14ac:dyDescent="0.35">
      <c r="D23" s="35" t="s">
        <v>435</v>
      </c>
      <c r="E23" s="281">
        <v>0</v>
      </c>
      <c r="F23" s="1" t="s">
        <v>62</v>
      </c>
      <c r="G23" s="282">
        <v>0</v>
      </c>
      <c r="H23" s="380">
        <f t="shared" si="6"/>
        <v>0</v>
      </c>
      <c r="I23" s="68">
        <f t="shared" si="0"/>
        <v>0</v>
      </c>
      <c r="J23" s="68">
        <f t="shared" si="1"/>
        <v>0</v>
      </c>
      <c r="K23" s="68" t="b">
        <f t="shared" si="2"/>
        <v>0</v>
      </c>
      <c r="L23" s="68">
        <f t="shared" si="3"/>
        <v>0</v>
      </c>
      <c r="M23" s="68" t="b">
        <f t="shared" si="4"/>
        <v>0</v>
      </c>
      <c r="N23" s="68">
        <f t="shared" si="5"/>
        <v>0</v>
      </c>
    </row>
    <row r="24" spans="4:14" x14ac:dyDescent="0.35">
      <c r="D24" s="35" t="s">
        <v>434</v>
      </c>
      <c r="E24" s="281">
        <v>32996772.655714285</v>
      </c>
      <c r="F24" s="1" t="s">
        <v>62</v>
      </c>
      <c r="G24" s="282">
        <v>0</v>
      </c>
      <c r="H24" s="380">
        <f t="shared" si="6"/>
        <v>0</v>
      </c>
      <c r="I24" s="68">
        <f t="shared" si="0"/>
        <v>0</v>
      </c>
      <c r="J24" s="68">
        <f t="shared" si="1"/>
        <v>0</v>
      </c>
      <c r="K24" s="68" t="b">
        <f t="shared" si="2"/>
        <v>0</v>
      </c>
      <c r="L24" s="68">
        <f t="shared" si="3"/>
        <v>0</v>
      </c>
      <c r="M24" s="68" t="b">
        <f t="shared" si="4"/>
        <v>0</v>
      </c>
      <c r="N24" s="68">
        <f t="shared" si="5"/>
        <v>0</v>
      </c>
    </row>
    <row r="25" spans="4:14" x14ac:dyDescent="0.35">
      <c r="D25" s="35" t="s">
        <v>433</v>
      </c>
      <c r="E25" s="281">
        <v>5067571.1628571432</v>
      </c>
      <c r="F25" s="1" t="s">
        <v>62</v>
      </c>
      <c r="G25" s="282">
        <v>0</v>
      </c>
      <c r="H25" s="380">
        <f t="shared" si="6"/>
        <v>0</v>
      </c>
      <c r="I25" s="68">
        <f t="shared" si="0"/>
        <v>0</v>
      </c>
      <c r="J25" s="68">
        <f t="shared" si="1"/>
        <v>0</v>
      </c>
      <c r="K25" s="68" t="b">
        <f t="shared" si="2"/>
        <v>0</v>
      </c>
      <c r="L25" s="68">
        <f t="shared" si="3"/>
        <v>0</v>
      </c>
      <c r="M25" s="68" t="b">
        <f t="shared" si="4"/>
        <v>0</v>
      </c>
      <c r="N25" s="68">
        <f t="shared" si="5"/>
        <v>0</v>
      </c>
    </row>
    <row r="26" spans="4:14" x14ac:dyDescent="0.35">
      <c r="D26" s="35" t="s">
        <v>432</v>
      </c>
      <c r="E26" s="281">
        <v>0</v>
      </c>
      <c r="F26" s="1" t="s">
        <v>62</v>
      </c>
      <c r="G26" s="282">
        <v>0</v>
      </c>
      <c r="H26" s="380">
        <f t="shared" si="6"/>
        <v>0</v>
      </c>
      <c r="I26" s="68">
        <f t="shared" si="0"/>
        <v>0</v>
      </c>
      <c r="J26" s="68">
        <f t="shared" si="1"/>
        <v>0</v>
      </c>
      <c r="K26" s="68" t="b">
        <f t="shared" si="2"/>
        <v>0</v>
      </c>
      <c r="L26" s="68">
        <f t="shared" si="3"/>
        <v>0</v>
      </c>
      <c r="M26" s="68" t="b">
        <f t="shared" si="4"/>
        <v>0</v>
      </c>
      <c r="N26" s="68">
        <f t="shared" si="5"/>
        <v>0</v>
      </c>
    </row>
    <row r="27" spans="4:14" x14ac:dyDescent="0.35">
      <c r="D27" s="35" t="s">
        <v>431</v>
      </c>
      <c r="E27" s="281">
        <v>18229172.404285714</v>
      </c>
      <c r="F27" s="1" t="s">
        <v>62</v>
      </c>
      <c r="G27" s="282">
        <v>0</v>
      </c>
      <c r="H27" s="380">
        <f t="shared" si="6"/>
        <v>0</v>
      </c>
      <c r="I27" s="68">
        <f t="shared" si="0"/>
        <v>0</v>
      </c>
      <c r="J27" s="68">
        <f t="shared" si="1"/>
        <v>0</v>
      </c>
      <c r="K27" s="68" t="b">
        <f t="shared" si="2"/>
        <v>0</v>
      </c>
      <c r="L27" s="68">
        <f t="shared" si="3"/>
        <v>0</v>
      </c>
      <c r="M27" s="68" t="b">
        <f t="shared" si="4"/>
        <v>0</v>
      </c>
      <c r="N27" s="68">
        <f t="shared" si="5"/>
        <v>0</v>
      </c>
    </row>
    <row r="28" spans="4:14" x14ac:dyDescent="0.35">
      <c r="D28" s="35" t="s">
        <v>430</v>
      </c>
      <c r="E28" s="281">
        <v>25621471.202857144</v>
      </c>
      <c r="F28" s="1" t="s">
        <v>62</v>
      </c>
      <c r="G28" s="282">
        <v>0</v>
      </c>
      <c r="H28" s="380">
        <f t="shared" si="6"/>
        <v>0</v>
      </c>
      <c r="I28" s="68">
        <f t="shared" si="0"/>
        <v>0</v>
      </c>
      <c r="J28" s="68">
        <f t="shared" si="1"/>
        <v>0</v>
      </c>
      <c r="K28" s="68" t="b">
        <f t="shared" si="2"/>
        <v>0</v>
      </c>
      <c r="L28" s="68">
        <f t="shared" si="3"/>
        <v>0</v>
      </c>
      <c r="M28" s="68" t="b">
        <f t="shared" si="4"/>
        <v>0</v>
      </c>
      <c r="N28" s="68">
        <f t="shared" si="5"/>
        <v>0</v>
      </c>
    </row>
    <row r="29" spans="4:14" x14ac:dyDescent="0.35">
      <c r="D29" s="35" t="s">
        <v>429</v>
      </c>
      <c r="E29" s="281">
        <v>87885077.137142867</v>
      </c>
      <c r="F29" s="1" t="s">
        <v>62</v>
      </c>
      <c r="G29" s="282">
        <v>0</v>
      </c>
      <c r="H29" s="380">
        <f t="shared" si="6"/>
        <v>0</v>
      </c>
      <c r="I29" s="68">
        <f t="shared" si="0"/>
        <v>0</v>
      </c>
      <c r="J29" s="68">
        <f t="shared" si="1"/>
        <v>0</v>
      </c>
      <c r="K29" s="68" t="b">
        <f t="shared" si="2"/>
        <v>0</v>
      </c>
      <c r="L29" s="68">
        <f t="shared" si="3"/>
        <v>0</v>
      </c>
      <c r="M29" s="68" t="b">
        <f t="shared" si="4"/>
        <v>0</v>
      </c>
      <c r="N29" s="68">
        <f t="shared" si="5"/>
        <v>0</v>
      </c>
    </row>
    <row r="30" spans="4:14" x14ac:dyDescent="0.35">
      <c r="D30" s="35" t="s">
        <v>428</v>
      </c>
      <c r="E30" s="281">
        <v>66253762.007142857</v>
      </c>
      <c r="F30" s="1" t="s">
        <v>62</v>
      </c>
      <c r="G30" s="283" t="s">
        <v>27</v>
      </c>
      <c r="H30" s="380">
        <f t="shared" si="6"/>
        <v>1</v>
      </c>
      <c r="I30" s="68" t="str">
        <f t="shared" si="0"/>
        <v>0</v>
      </c>
      <c r="J30" s="68">
        <f t="shared" si="1"/>
        <v>66253762.007142857</v>
      </c>
      <c r="K30" s="68" t="b">
        <f t="shared" si="2"/>
        <v>0</v>
      </c>
      <c r="L30" s="68">
        <f t="shared" si="3"/>
        <v>0</v>
      </c>
      <c r="M30" s="68" t="b">
        <f t="shared" si="4"/>
        <v>0</v>
      </c>
      <c r="N30" s="68">
        <f t="shared" si="5"/>
        <v>0</v>
      </c>
    </row>
    <row r="31" spans="4:14" x14ac:dyDescent="0.35">
      <c r="D31" s="278" t="s">
        <v>427</v>
      </c>
      <c r="E31" s="285">
        <f>E32+E62+E110</f>
        <v>18551990455</v>
      </c>
      <c r="F31" s="278"/>
      <c r="G31" s="278"/>
      <c r="H31" s="278"/>
      <c r="I31" s="285">
        <f>I32+I62+I110</f>
        <v>1747293084.2</v>
      </c>
      <c r="J31" s="285">
        <f>J32+J62+J110</f>
        <v>5394016246</v>
      </c>
      <c r="K31" s="278"/>
      <c r="L31" s="285">
        <f>L32+L62+L110</f>
        <v>470670090</v>
      </c>
      <c r="M31" s="278"/>
      <c r="N31" s="285">
        <f>N32+N62+N110</f>
        <v>42448788</v>
      </c>
    </row>
    <row r="32" spans="4:14" x14ac:dyDescent="0.35">
      <c r="D32" s="278" t="s">
        <v>426</v>
      </c>
      <c r="E32" s="285">
        <f>E33+E56</f>
        <v>1893838057</v>
      </c>
      <c r="F32" s="278"/>
      <c r="G32" s="278"/>
      <c r="H32" s="278"/>
      <c r="I32" s="285">
        <f>I33+I56</f>
        <v>81270111.400000006</v>
      </c>
      <c r="J32" s="285">
        <f>[1]CotationLogement!K2+[1]CotationLogement!K58</f>
        <v>64300000</v>
      </c>
      <c r="K32" s="278"/>
      <c r="L32" s="285">
        <f>L33+L56</f>
        <v>0</v>
      </c>
      <c r="M32" s="278"/>
      <c r="N32" s="285">
        <f>N33+N56</f>
        <v>0</v>
      </c>
    </row>
    <row r="33" spans="4:14" x14ac:dyDescent="0.35">
      <c r="D33" s="278" t="s">
        <v>103</v>
      </c>
      <c r="E33" s="279">
        <f>E34+E40+E42+E43+E51+E52</f>
        <v>1822768057</v>
      </c>
      <c r="F33" s="73" t="s">
        <v>4</v>
      </c>
      <c r="G33" s="280"/>
      <c r="H33" s="280"/>
      <c r="I33" s="83">
        <f>SUMIF(I34:I55,"&lt;&gt;&amp;#34;")</f>
        <v>56815611.400000006</v>
      </c>
      <c r="J33" s="83">
        <f>SUMIF(J34:J55,"&lt;&gt;&amp;#34;")</f>
        <v>64300000</v>
      </c>
      <c r="K33" s="83"/>
      <c r="L33" s="83">
        <f>SUMIF(L34:L55,"&lt;&gt;&amp;#34;")</f>
        <v>0</v>
      </c>
      <c r="M33" s="83">
        <f>SUMIF(M34:M55,"&lt;&gt;&amp;#34;")</f>
        <v>0</v>
      </c>
      <c r="N33" s="83">
        <f>SUMIF(N34:N55,"&lt;&gt;&amp;#34;")</f>
        <v>0</v>
      </c>
    </row>
    <row r="34" spans="4:14" x14ac:dyDescent="0.35">
      <c r="D34" s="11" t="s">
        <v>425</v>
      </c>
      <c r="E34" s="113">
        <f>SUM(E35:E39)</f>
        <v>318868057</v>
      </c>
      <c r="F34" s="42"/>
      <c r="G34" s="282"/>
      <c r="H34" s="380">
        <f t="shared" si="6"/>
        <v>0</v>
      </c>
      <c r="I34" s="68"/>
      <c r="K34" s="68"/>
      <c r="L34" s="68"/>
      <c r="M34" s="68"/>
      <c r="N34" s="68"/>
    </row>
    <row r="35" spans="4:14" x14ac:dyDescent="0.35">
      <c r="D35" s="41" t="s">
        <v>424</v>
      </c>
      <c r="E35" s="44">
        <v>284078057</v>
      </c>
      <c r="F35" s="42" t="s">
        <v>363</v>
      </c>
      <c r="G35" s="282">
        <v>0.2</v>
      </c>
      <c r="H35" s="380">
        <f t="shared" si="6"/>
        <v>1</v>
      </c>
      <c r="I35" s="68">
        <f t="shared" ref="I35:I42" si="7">IF(ISNUMBER(G35*E35),E35*G35,"0")</f>
        <v>56815611.400000006</v>
      </c>
      <c r="J35" s="68">
        <f t="shared" ref="J35:J55" si="8">IF(AND(NOT($M35),$G35="mix"),$E35,0)</f>
        <v>0</v>
      </c>
      <c r="K35" s="68" t="b">
        <f>AND(M35,G35&gt;0)</f>
        <v>0</v>
      </c>
      <c r="L35" s="68">
        <f>IF(AND(NOT($M35),$G35="inc"),$E35,0)</f>
        <v>0</v>
      </c>
      <c r="M35" s="68" t="b">
        <f>NOT(ISNUMBER($E35))</f>
        <v>0</v>
      </c>
      <c r="N35" s="68">
        <f>IF(AND(NOT(ISNUMBER(G35)),L35+K35+[1]CotationLogement!K5+I35=0),E35,0)</f>
        <v>0</v>
      </c>
    </row>
    <row r="36" spans="4:14" x14ac:dyDescent="0.35">
      <c r="D36" s="41" t="s">
        <v>423</v>
      </c>
      <c r="E36" s="44">
        <v>19800000</v>
      </c>
      <c r="F36" s="42" t="s">
        <v>4</v>
      </c>
      <c r="G36" s="282">
        <v>0</v>
      </c>
      <c r="H36" s="380">
        <f t="shared" si="6"/>
        <v>0</v>
      </c>
      <c r="I36" s="68">
        <f t="shared" si="7"/>
        <v>0</v>
      </c>
      <c r="J36" s="68">
        <f t="shared" si="8"/>
        <v>0</v>
      </c>
      <c r="K36" s="68" t="b">
        <f>AND(M36,G36&gt;0)</f>
        <v>0</v>
      </c>
      <c r="L36" s="68">
        <f>IF(AND(NOT($M36),$G36="inc"),$E36,0)</f>
        <v>0</v>
      </c>
      <c r="M36" s="68" t="b">
        <f>NOT(ISNUMBER($E36))</f>
        <v>0</v>
      </c>
      <c r="N36" s="68">
        <f>IF(AND(NOT(ISNUMBER(G36)),L36+K36+[1]CotationLogement!K6+I36=0),E36,0)</f>
        <v>0</v>
      </c>
    </row>
    <row r="37" spans="4:14" x14ac:dyDescent="0.35">
      <c r="D37" s="41" t="s">
        <v>422</v>
      </c>
      <c r="E37" s="44">
        <v>5000000</v>
      </c>
      <c r="F37" s="42" t="s">
        <v>4</v>
      </c>
      <c r="G37" s="282">
        <v>0</v>
      </c>
      <c r="H37" s="380">
        <f t="shared" si="6"/>
        <v>0</v>
      </c>
      <c r="I37" s="68">
        <f t="shared" si="7"/>
        <v>0</v>
      </c>
      <c r="J37" s="68">
        <f t="shared" si="8"/>
        <v>0</v>
      </c>
      <c r="K37" s="68" t="b">
        <f>AND(M37,G37&gt;0)</f>
        <v>0</v>
      </c>
      <c r="L37" s="68">
        <f>IF(AND(NOT($M37),$G37="inc"),$E37,0)</f>
        <v>0</v>
      </c>
      <c r="M37" s="68" t="b">
        <f>NOT(ISNUMBER($E37))</f>
        <v>0</v>
      </c>
      <c r="N37" s="68">
        <f>IF(AND(NOT(ISNUMBER(G37)),L37+K37+[1]CotationLogement!K7+I37=0),E37,0)</f>
        <v>0</v>
      </c>
    </row>
    <row r="38" spans="4:14" x14ac:dyDescent="0.35">
      <c r="D38" s="41" t="s">
        <v>421</v>
      </c>
      <c r="E38" s="44">
        <v>2990000</v>
      </c>
      <c r="F38" s="42" t="s">
        <v>4</v>
      </c>
      <c r="G38" s="282">
        <v>0</v>
      </c>
      <c r="H38" s="380">
        <f t="shared" si="6"/>
        <v>0</v>
      </c>
      <c r="I38" s="68">
        <f t="shared" si="7"/>
        <v>0</v>
      </c>
      <c r="J38" s="68">
        <f t="shared" si="8"/>
        <v>0</v>
      </c>
      <c r="K38" s="68" t="b">
        <f>AND(M38,G38&gt;0)</f>
        <v>0</v>
      </c>
      <c r="L38" s="68">
        <f>IF(AND(NOT($M38),$G38="inc"),$E38,0)</f>
        <v>0</v>
      </c>
      <c r="M38" s="68" t="b">
        <f>NOT(ISNUMBER($E38))</f>
        <v>0</v>
      </c>
      <c r="N38" s="68">
        <f>IF(AND(NOT(ISNUMBER(G38)),L38+K38+[1]CotationLogement!K8+I38=0),E38,0)</f>
        <v>0</v>
      </c>
    </row>
    <row r="39" spans="4:14" x14ac:dyDescent="0.35">
      <c r="D39" s="41" t="s">
        <v>420</v>
      </c>
      <c r="E39" s="44">
        <v>7000000</v>
      </c>
      <c r="F39" s="42" t="s">
        <v>4</v>
      </c>
      <c r="G39" s="282">
        <v>0</v>
      </c>
      <c r="H39" s="380">
        <f t="shared" si="6"/>
        <v>0</v>
      </c>
      <c r="I39" s="68">
        <f t="shared" si="7"/>
        <v>0</v>
      </c>
      <c r="J39" s="68">
        <f t="shared" si="8"/>
        <v>0</v>
      </c>
      <c r="K39" s="68" t="b">
        <f>AND(M39,G39&gt;0)</f>
        <v>0</v>
      </c>
      <c r="L39" s="68">
        <f>IF(AND(NOT($M39),$G39="inc"),$E39,0)</f>
        <v>0</v>
      </c>
      <c r="M39" s="68" t="b">
        <f>NOT(ISNUMBER($E39))</f>
        <v>0</v>
      </c>
      <c r="N39" s="68">
        <f>IF(AND(NOT(ISNUMBER(G39)),L39+K39+[1]CotationLogement!K9+I39=0),E39,0)</f>
        <v>0</v>
      </c>
    </row>
    <row r="40" spans="4:14" x14ac:dyDescent="0.35">
      <c r="D40" s="11" t="s">
        <v>419</v>
      </c>
      <c r="E40" s="113">
        <f>E41</f>
        <v>4200000</v>
      </c>
      <c r="F40" s="42" t="s">
        <v>4</v>
      </c>
      <c r="G40" s="282"/>
      <c r="H40" s="380">
        <f t="shared" si="6"/>
        <v>0</v>
      </c>
      <c r="I40" s="68"/>
      <c r="J40" s="68"/>
      <c r="K40" s="68"/>
      <c r="L40" s="68"/>
      <c r="M40" s="68"/>
      <c r="N40" s="68"/>
    </row>
    <row r="41" spans="4:14" x14ac:dyDescent="0.35">
      <c r="D41" s="41" t="s">
        <v>418</v>
      </c>
      <c r="E41" s="44">
        <v>4200000</v>
      </c>
      <c r="F41" s="42" t="s">
        <v>4</v>
      </c>
      <c r="G41" s="282">
        <v>0</v>
      </c>
      <c r="H41" s="380">
        <f t="shared" si="6"/>
        <v>0</v>
      </c>
      <c r="I41" s="68">
        <f t="shared" si="7"/>
        <v>0</v>
      </c>
      <c r="J41" s="68">
        <f t="shared" si="8"/>
        <v>0</v>
      </c>
      <c r="K41" s="68" t="b">
        <f>AND(M41,G41&gt;0)</f>
        <v>0</v>
      </c>
      <c r="L41" s="68">
        <f>IF(AND(NOT($M41),$G41="inc"),$E41,0)</f>
        <v>0</v>
      </c>
      <c r="M41" s="68" t="b">
        <f>NOT(ISNUMBER($E41))</f>
        <v>0</v>
      </c>
      <c r="N41" s="68">
        <f>IF(AND(NOT(ISNUMBER(G41)),L41+K41+[1]CotationLogement!K11+I41=0),E41,0)</f>
        <v>0</v>
      </c>
    </row>
    <row r="42" spans="4:14" x14ac:dyDescent="0.35">
      <c r="D42" s="11" t="s">
        <v>417</v>
      </c>
      <c r="E42" s="113">
        <v>15500000</v>
      </c>
      <c r="F42" s="42" t="s">
        <v>4</v>
      </c>
      <c r="G42" s="282">
        <v>0</v>
      </c>
      <c r="H42" s="380">
        <f t="shared" si="6"/>
        <v>0</v>
      </c>
      <c r="I42" s="68">
        <f t="shared" si="7"/>
        <v>0</v>
      </c>
      <c r="J42" s="68">
        <f t="shared" si="8"/>
        <v>0</v>
      </c>
      <c r="K42" s="68" t="b">
        <f>AND(M42,G42&gt;0)</f>
        <v>0</v>
      </c>
      <c r="L42" s="68">
        <f>IF(AND(NOT($M42),$G42="inc"),$E42,0)</f>
        <v>0</v>
      </c>
      <c r="M42" s="68" t="b">
        <f>NOT(ISNUMBER($E42))</f>
        <v>0</v>
      </c>
      <c r="N42" s="68">
        <f>IF(AND(NOT(ISNUMBER(G42)),L42+K42+[1]CotationLogement!K12+I42=0),E42,0)</f>
        <v>0</v>
      </c>
    </row>
    <row r="43" spans="4:14" x14ac:dyDescent="0.35">
      <c r="D43" s="11" t="s">
        <v>416</v>
      </c>
      <c r="E43" s="113">
        <f>SUM(E44:E50)</f>
        <v>1179500000</v>
      </c>
      <c r="F43" s="42" t="s">
        <v>4</v>
      </c>
      <c r="G43" s="282"/>
      <c r="H43" s="380">
        <f t="shared" si="6"/>
        <v>0</v>
      </c>
      <c r="I43" s="68"/>
      <c r="J43" s="68">
        <f t="shared" si="8"/>
        <v>0</v>
      </c>
      <c r="K43" s="68"/>
      <c r="L43" s="68"/>
      <c r="M43" s="68"/>
      <c r="N43" s="68"/>
    </row>
    <row r="44" spans="4:14" x14ac:dyDescent="0.35">
      <c r="D44" s="41" t="s">
        <v>415</v>
      </c>
      <c r="E44" s="44">
        <v>41000000</v>
      </c>
      <c r="F44" s="42" t="s">
        <v>4</v>
      </c>
      <c r="G44" s="282">
        <v>0</v>
      </c>
      <c r="H44" s="380">
        <f t="shared" si="6"/>
        <v>0</v>
      </c>
      <c r="I44" s="68">
        <f t="shared" ref="I44:I51" si="9">IF(ISNUMBER(G44*E44),E44*G44,"0")</f>
        <v>0</v>
      </c>
      <c r="J44" s="68">
        <f t="shared" si="8"/>
        <v>0</v>
      </c>
      <c r="K44" s="68" t="b">
        <f t="shared" ref="K44:K51" si="10">AND(M44,G44&gt;0)</f>
        <v>0</v>
      </c>
      <c r="L44" s="68">
        <f t="shared" ref="L44:L51" si="11">IF(AND(NOT($M44),$G44="inc"),$E44,0)</f>
        <v>0</v>
      </c>
      <c r="M44" s="68" t="b">
        <f t="shared" ref="M44:M51" si="12">NOT(ISNUMBER($E44))</f>
        <v>0</v>
      </c>
      <c r="N44" s="68">
        <f>IF(AND(NOT(ISNUMBER(G44)),L44+K44+[1]CotationLogement!K14+I44=0),E44,0)</f>
        <v>0</v>
      </c>
    </row>
    <row r="45" spans="4:14" x14ac:dyDescent="0.35">
      <c r="D45" s="41" t="s">
        <v>414</v>
      </c>
      <c r="E45" s="44">
        <v>3800000</v>
      </c>
      <c r="F45" s="42" t="s">
        <v>4</v>
      </c>
      <c r="G45" s="282">
        <v>0</v>
      </c>
      <c r="H45" s="380">
        <f t="shared" si="6"/>
        <v>0</v>
      </c>
      <c r="I45" s="68">
        <f t="shared" si="9"/>
        <v>0</v>
      </c>
      <c r="J45" s="68">
        <f t="shared" si="8"/>
        <v>0</v>
      </c>
      <c r="K45" s="68" t="b">
        <f t="shared" si="10"/>
        <v>0</v>
      </c>
      <c r="L45" s="68">
        <f t="shared" si="11"/>
        <v>0</v>
      </c>
      <c r="M45" s="68" t="b">
        <f t="shared" si="12"/>
        <v>0</v>
      </c>
      <c r="N45" s="68">
        <f>IF(AND(NOT(ISNUMBER(G45)),L45+K45+[1]CotationLogement!K15+I45=0),E45,0)</f>
        <v>0</v>
      </c>
    </row>
    <row r="46" spans="4:14" x14ac:dyDescent="0.35">
      <c r="D46" s="41" t="s">
        <v>413</v>
      </c>
      <c r="E46" s="44">
        <v>6400000</v>
      </c>
      <c r="F46" s="42" t="s">
        <v>4</v>
      </c>
      <c r="G46" s="282">
        <v>0</v>
      </c>
      <c r="H46" s="380">
        <f t="shared" si="6"/>
        <v>0</v>
      </c>
      <c r="I46" s="68">
        <f t="shared" si="9"/>
        <v>0</v>
      </c>
      <c r="J46" s="68">
        <f t="shared" si="8"/>
        <v>0</v>
      </c>
      <c r="K46" s="68" t="b">
        <f t="shared" si="10"/>
        <v>0</v>
      </c>
      <c r="L46" s="68">
        <f t="shared" si="11"/>
        <v>0</v>
      </c>
      <c r="M46" s="68" t="b">
        <f t="shared" si="12"/>
        <v>0</v>
      </c>
      <c r="N46" s="68">
        <f>IF(AND(NOT(ISNUMBER(G46)),L46+K46+[1]CotationLogement!K16+I46=0),E46,0)</f>
        <v>0</v>
      </c>
    </row>
    <row r="47" spans="4:14" x14ac:dyDescent="0.35">
      <c r="D47" s="41" t="s">
        <v>412</v>
      </c>
      <c r="E47" s="44">
        <v>1038300000</v>
      </c>
      <c r="F47" s="42" t="s">
        <v>4</v>
      </c>
      <c r="G47" s="282">
        <v>0</v>
      </c>
      <c r="H47" s="380">
        <f t="shared" si="6"/>
        <v>0</v>
      </c>
      <c r="I47" s="68">
        <f t="shared" si="9"/>
        <v>0</v>
      </c>
      <c r="J47" s="68">
        <f t="shared" si="8"/>
        <v>0</v>
      </c>
      <c r="K47" s="68" t="b">
        <f t="shared" si="10"/>
        <v>0</v>
      </c>
      <c r="L47" s="68">
        <f t="shared" si="11"/>
        <v>0</v>
      </c>
      <c r="M47" s="68" t="b">
        <f t="shared" si="12"/>
        <v>0</v>
      </c>
      <c r="N47" s="68">
        <f>IF(AND(NOT(ISNUMBER(G47)),L47+K47+[1]CotationLogement!K17+I47=0),E47,0)</f>
        <v>0</v>
      </c>
    </row>
    <row r="48" spans="4:14" x14ac:dyDescent="0.35">
      <c r="D48" s="41" t="s">
        <v>411</v>
      </c>
      <c r="E48" s="44">
        <v>67000000</v>
      </c>
      <c r="F48" s="42" t="s">
        <v>4</v>
      </c>
      <c r="G48" s="282">
        <v>0</v>
      </c>
      <c r="H48" s="380">
        <f t="shared" si="6"/>
        <v>0</v>
      </c>
      <c r="I48" s="68">
        <f t="shared" si="9"/>
        <v>0</v>
      </c>
      <c r="J48" s="68">
        <f t="shared" si="8"/>
        <v>0</v>
      </c>
      <c r="K48" s="68" t="b">
        <f t="shared" si="10"/>
        <v>0</v>
      </c>
      <c r="L48" s="68">
        <f t="shared" si="11"/>
        <v>0</v>
      </c>
      <c r="M48" s="68" t="b">
        <f t="shared" si="12"/>
        <v>0</v>
      </c>
      <c r="N48" s="68">
        <f>IF(AND(NOT(ISNUMBER(G48)),L48+K48+[1]CotationLogement!K18+I48=0),E48,0)</f>
        <v>0</v>
      </c>
    </row>
    <row r="49" spans="4:14" x14ac:dyDescent="0.35">
      <c r="D49" s="41" t="s">
        <v>410</v>
      </c>
      <c r="E49" s="44">
        <v>19400000</v>
      </c>
      <c r="F49" s="42" t="s">
        <v>4</v>
      </c>
      <c r="G49" s="282">
        <v>0</v>
      </c>
      <c r="H49" s="380">
        <f t="shared" si="6"/>
        <v>0</v>
      </c>
      <c r="I49" s="68">
        <f t="shared" si="9"/>
        <v>0</v>
      </c>
      <c r="J49" s="68">
        <f t="shared" si="8"/>
        <v>0</v>
      </c>
      <c r="K49" s="68" t="b">
        <f t="shared" si="10"/>
        <v>0</v>
      </c>
      <c r="L49" s="68">
        <f t="shared" si="11"/>
        <v>0</v>
      </c>
      <c r="M49" s="68" t="b">
        <f t="shared" si="12"/>
        <v>0</v>
      </c>
      <c r="N49" s="68">
        <f>IF(AND(NOT(ISNUMBER(G49)),L49+K49+[1]CotationLogement!K19+I49=0),E49,0)</f>
        <v>0</v>
      </c>
    </row>
    <row r="50" spans="4:14" x14ac:dyDescent="0.35">
      <c r="D50" s="41" t="s">
        <v>409</v>
      </c>
      <c r="E50" s="44">
        <v>3600000</v>
      </c>
      <c r="F50" s="42" t="s">
        <v>4</v>
      </c>
      <c r="G50" s="282">
        <v>0</v>
      </c>
      <c r="H50" s="380">
        <f t="shared" si="6"/>
        <v>0</v>
      </c>
      <c r="I50" s="68">
        <f t="shared" si="9"/>
        <v>0</v>
      </c>
      <c r="J50" s="68">
        <f t="shared" si="8"/>
        <v>0</v>
      </c>
      <c r="K50" s="68" t="b">
        <f t="shared" si="10"/>
        <v>0</v>
      </c>
      <c r="L50" s="68">
        <f t="shared" si="11"/>
        <v>0</v>
      </c>
      <c r="M50" s="68" t="b">
        <f t="shared" si="12"/>
        <v>0</v>
      </c>
      <c r="N50" s="68">
        <f>IF(AND(NOT(ISNUMBER(G50)),L50+K50+[1]CotationLogement!K20+I50=0),E50,0)</f>
        <v>0</v>
      </c>
    </row>
    <row r="51" spans="4:14" x14ac:dyDescent="0.35">
      <c r="D51" s="11" t="s">
        <v>408</v>
      </c>
      <c r="E51" s="113">
        <v>39000000</v>
      </c>
      <c r="F51" s="42" t="s">
        <v>4</v>
      </c>
      <c r="G51" s="282">
        <v>0</v>
      </c>
      <c r="H51" s="380">
        <f t="shared" si="6"/>
        <v>0</v>
      </c>
      <c r="I51" s="68">
        <f t="shared" si="9"/>
        <v>0</v>
      </c>
      <c r="J51" s="68">
        <f t="shared" si="8"/>
        <v>0</v>
      </c>
      <c r="K51" s="68" t="b">
        <f t="shared" si="10"/>
        <v>0</v>
      </c>
      <c r="L51" s="68">
        <f t="shared" si="11"/>
        <v>0</v>
      </c>
      <c r="M51" s="68" t="b">
        <f t="shared" si="12"/>
        <v>0</v>
      </c>
      <c r="N51" s="68">
        <f>IF(AND(NOT(ISNUMBER(G51)),L51+K51+[1]CotationLogement!K21+I51=0),E51,0)</f>
        <v>0</v>
      </c>
    </row>
    <row r="52" spans="4:14" x14ac:dyDescent="0.35">
      <c r="D52" s="11" t="s">
        <v>407</v>
      </c>
      <c r="E52" s="113">
        <f>SUM(E53:E55)</f>
        <v>265700000</v>
      </c>
      <c r="F52" s="42" t="s">
        <v>4</v>
      </c>
      <c r="G52" s="282"/>
      <c r="H52" s="380">
        <f t="shared" si="6"/>
        <v>0</v>
      </c>
      <c r="I52" s="68"/>
      <c r="J52" s="68"/>
      <c r="K52" s="68"/>
      <c r="L52" s="68"/>
      <c r="M52" s="68"/>
      <c r="N52" s="68"/>
    </row>
    <row r="53" spans="4:14" x14ac:dyDescent="0.35">
      <c r="D53" s="41" t="s">
        <v>406</v>
      </c>
      <c r="E53" s="44">
        <v>17000000</v>
      </c>
      <c r="F53" s="42" t="s">
        <v>4</v>
      </c>
      <c r="G53" s="282">
        <v>0</v>
      </c>
      <c r="H53" s="380">
        <f t="shared" si="6"/>
        <v>0</v>
      </c>
      <c r="I53" s="68">
        <f>IF(ISNUMBER(G53*E53),E53*G53,"0")</f>
        <v>0</v>
      </c>
      <c r="J53" s="68">
        <f t="shared" si="8"/>
        <v>0</v>
      </c>
      <c r="K53" s="68" t="b">
        <f>AND(M53,G53&gt;0)</f>
        <v>0</v>
      </c>
      <c r="L53" s="68">
        <f>IF(AND(NOT($M53),$G53="inc"),$E53,0)</f>
        <v>0</v>
      </c>
      <c r="M53" s="68" t="b">
        <f>NOT(ISNUMBER($E53))</f>
        <v>0</v>
      </c>
      <c r="N53" s="68">
        <f>IF(AND(NOT(ISNUMBER(G53)),L53+K53+[1]CotationLogement!K23+I53=0),E53,0)</f>
        <v>0</v>
      </c>
    </row>
    <row r="54" spans="4:14" x14ac:dyDescent="0.35">
      <c r="D54" s="41" t="s">
        <v>405</v>
      </c>
      <c r="E54" s="44">
        <v>64300000</v>
      </c>
      <c r="F54" s="42" t="s">
        <v>4</v>
      </c>
      <c r="G54" s="282" t="s">
        <v>27</v>
      </c>
      <c r="H54" s="380">
        <f t="shared" si="6"/>
        <v>1</v>
      </c>
      <c r="I54" s="68" t="str">
        <f>IF(ISNUMBER(G54*E54),E54*G54,"0")</f>
        <v>0</v>
      </c>
      <c r="J54" s="68">
        <f t="shared" si="8"/>
        <v>64300000</v>
      </c>
      <c r="K54" s="68" t="b">
        <f>AND(M54,G54&gt;0)</f>
        <v>0</v>
      </c>
      <c r="L54" s="68">
        <f>IF(AND(NOT($M54),$G54="inc"),$E54,0)</f>
        <v>0</v>
      </c>
      <c r="M54" s="68" t="b">
        <f>NOT(ISNUMBER($E54))</f>
        <v>0</v>
      </c>
      <c r="N54" s="68">
        <f>IF(AND(NOT(ISNUMBER(G54)),L54+K54+[1]CotationLogement!K24+I54=0),E54,0)</f>
        <v>0</v>
      </c>
    </row>
    <row r="55" spans="4:14" ht="47.25" x14ac:dyDescent="0.35">
      <c r="D55" s="41" t="s">
        <v>404</v>
      </c>
      <c r="E55" s="44">
        <v>184400000</v>
      </c>
      <c r="F55" s="42" t="s">
        <v>4</v>
      </c>
      <c r="G55" s="282">
        <v>0</v>
      </c>
      <c r="H55" s="380">
        <f t="shared" si="6"/>
        <v>0</v>
      </c>
      <c r="I55" s="68">
        <f>IF(ISNUMBER(G55*E55),E55*G55,"0")</f>
        <v>0</v>
      </c>
      <c r="J55" s="68">
        <f t="shared" si="8"/>
        <v>0</v>
      </c>
      <c r="K55" s="68" t="b">
        <f>AND(M55,G55&gt;0)</f>
        <v>0</v>
      </c>
      <c r="L55" s="68">
        <f>IF(AND(NOT($M55),$G55="inc"),$E55,0)</f>
        <v>0</v>
      </c>
      <c r="M55" s="68" t="b">
        <f>NOT(ISNUMBER($E55))</f>
        <v>0</v>
      </c>
      <c r="N55" s="68">
        <f>IF(AND(NOT(ISNUMBER(G55)),L55+K55+[1]CotationLogement!K25+I55=0),E55,0)</f>
        <v>0</v>
      </c>
    </row>
    <row r="56" spans="4:14" x14ac:dyDescent="0.35">
      <c r="D56" s="278" t="s">
        <v>104</v>
      </c>
      <c r="E56" s="279">
        <f>E57+E60</f>
        <v>71070000</v>
      </c>
      <c r="F56" s="73" t="s">
        <v>4</v>
      </c>
      <c r="G56" s="280"/>
      <c r="H56" s="380">
        <f t="shared" si="6"/>
        <v>0</v>
      </c>
      <c r="I56" s="83">
        <f>SUMIF(I57:I61,"&lt;&gt;&amp;#34;")</f>
        <v>24454500</v>
      </c>
      <c r="J56" s="83"/>
      <c r="K56" s="83">
        <f>SUMIF(K57:K61,"&lt;&gt;&amp;#34;")</f>
        <v>0</v>
      </c>
      <c r="L56" s="83">
        <f>SUMIF(L57:L61,"&lt;&gt;&amp;#34;")</f>
        <v>0</v>
      </c>
      <c r="M56" s="83">
        <f>SUMIF(M57:M61,"&lt;&gt;&amp;#34;")</f>
        <v>0</v>
      </c>
      <c r="N56" s="83">
        <f>SUMIF(N57:N61,"&lt;&gt;&amp;#34;")</f>
        <v>0</v>
      </c>
    </row>
    <row r="57" spans="4:14" x14ac:dyDescent="0.35">
      <c r="D57" s="286" t="s">
        <v>403</v>
      </c>
      <c r="E57" s="113">
        <f>E58+E59</f>
        <v>70770000</v>
      </c>
      <c r="F57" s="42" t="s">
        <v>4</v>
      </c>
      <c r="G57" s="43"/>
      <c r="H57" s="380">
        <f t="shared" si="6"/>
        <v>0</v>
      </c>
      <c r="I57" s="68"/>
      <c r="K57" s="68"/>
      <c r="L57" s="68"/>
      <c r="M57" s="68"/>
      <c r="N57" s="68"/>
    </row>
    <row r="58" spans="4:14" x14ac:dyDescent="0.35">
      <c r="D58" s="41" t="s">
        <v>402</v>
      </c>
      <c r="E58" s="44">
        <v>900000</v>
      </c>
      <c r="F58" s="42" t="s">
        <v>4</v>
      </c>
      <c r="G58" s="282">
        <v>0</v>
      </c>
      <c r="H58" s="380">
        <f t="shared" si="6"/>
        <v>0</v>
      </c>
      <c r="I58" s="68">
        <f>IF(ISNUMBER(G58*E58),E58*G58,"0")</f>
        <v>0</v>
      </c>
      <c r="J58" s="68">
        <f t="shared" ref="J58:J61" si="13">IF(AND(NOT($M58),$G58="mix"),$E58,0)</f>
        <v>0</v>
      </c>
      <c r="K58" s="68" t="b">
        <f>AND(M58,G58&gt;0)</f>
        <v>0</v>
      </c>
      <c r="L58" s="68">
        <f>IF(AND(NOT($M58),$G58="inc"),$E58,0)</f>
        <v>0</v>
      </c>
      <c r="M58" s="68" t="b">
        <f>NOT(ISNUMBER($E58))</f>
        <v>0</v>
      </c>
      <c r="N58" s="68">
        <f>IF(AND(NOT(ISNUMBER(G58)),L58+K58+[1]CotationLogement!K61+I58=0),E58,0)</f>
        <v>0</v>
      </c>
    </row>
    <row r="59" spans="4:14" x14ac:dyDescent="0.35">
      <c r="D59" s="41" t="s">
        <v>401</v>
      </c>
      <c r="E59" s="44">
        <v>69870000</v>
      </c>
      <c r="F59" s="42" t="s">
        <v>4</v>
      </c>
      <c r="G59" s="282">
        <v>0.35</v>
      </c>
      <c r="H59" s="380">
        <f t="shared" si="6"/>
        <v>1</v>
      </c>
      <c r="I59" s="68">
        <f>IF(ISNUMBER(G59*E59),E59*G59,"0")</f>
        <v>24454500</v>
      </c>
      <c r="J59" s="68">
        <f t="shared" si="13"/>
        <v>0</v>
      </c>
      <c r="K59" s="68" t="b">
        <f>AND(M59,G59&gt;0)</f>
        <v>0</v>
      </c>
      <c r="L59" s="68">
        <f>IF(AND(NOT($M59),$G59="inc"),$E59,0)</f>
        <v>0</v>
      </c>
      <c r="M59" s="68" t="b">
        <f>NOT(ISNUMBER($E59))</f>
        <v>0</v>
      </c>
      <c r="N59" s="68">
        <f>IF(AND(NOT(ISNUMBER(G59)),L59+K59+[1]CotationLogement!K62+I59=0),E59,0)</f>
        <v>0</v>
      </c>
    </row>
    <row r="60" spans="4:14" x14ac:dyDescent="0.35">
      <c r="D60" s="286" t="s">
        <v>400</v>
      </c>
      <c r="E60" s="113">
        <f>E61</f>
        <v>300000</v>
      </c>
      <c r="F60" s="42" t="s">
        <v>4</v>
      </c>
      <c r="G60" s="43"/>
      <c r="H60" s="380">
        <f t="shared" si="6"/>
        <v>0</v>
      </c>
      <c r="I60" s="68"/>
      <c r="J60" s="68"/>
      <c r="K60" s="68"/>
      <c r="L60" s="68"/>
      <c r="M60" s="68"/>
      <c r="N60" s="68"/>
    </row>
    <row r="61" spans="4:14" x14ac:dyDescent="0.35">
      <c r="D61" s="41" t="s">
        <v>399</v>
      </c>
      <c r="E61" s="44">
        <v>300000</v>
      </c>
      <c r="F61" s="42" t="s">
        <v>4</v>
      </c>
      <c r="G61" s="282">
        <v>0</v>
      </c>
      <c r="H61" s="380">
        <f t="shared" si="6"/>
        <v>0</v>
      </c>
      <c r="I61" s="68">
        <f>IF(ISNUMBER(G61*E61),E61*G61,"0")</f>
        <v>0</v>
      </c>
      <c r="J61" s="68">
        <f t="shared" si="13"/>
        <v>0</v>
      </c>
      <c r="K61" s="68" t="b">
        <f>AND(M61,G61&gt;0)</f>
        <v>0</v>
      </c>
      <c r="L61" s="68">
        <f>IF(AND(NOT($M61),$G61="inc"),$E61,0)</f>
        <v>0</v>
      </c>
      <c r="M61" s="68" t="b">
        <f>NOT(ISNUMBER($E61))</f>
        <v>0</v>
      </c>
      <c r="N61" s="68">
        <f>IF(AND(NOT(ISNUMBER(G61)),L61+K61+[1]CotationLogement!K64+I61=0),E61,0)</f>
        <v>0</v>
      </c>
    </row>
    <row r="62" spans="4:14" x14ac:dyDescent="0.35">
      <c r="D62" s="278" t="s">
        <v>398</v>
      </c>
      <c r="E62" s="287">
        <f>E63+E102+E106+[2]Feuil1!E145</f>
        <v>10199640532</v>
      </c>
      <c r="F62" s="278"/>
      <c r="G62" s="278"/>
      <c r="H62" s="380">
        <f t="shared" si="6"/>
        <v>0</v>
      </c>
      <c r="I62" s="287">
        <f>I63+I102+I106+[2]Feuil1!H145</f>
        <v>1514850000</v>
      </c>
      <c r="J62" s="287">
        <f>J63+J102+J106+[2]Feuil1!I145</f>
        <v>1245900000</v>
      </c>
      <c r="K62" s="278"/>
      <c r="L62" s="287">
        <f>L63+L102+L106+[2]Feuil1!K145</f>
        <v>422670090</v>
      </c>
      <c r="M62" s="278"/>
      <c r="N62" s="287">
        <f>N63+N102+N106+[2]Feuil1!M145</f>
        <v>42448788</v>
      </c>
    </row>
    <row r="63" spans="4:14" x14ac:dyDescent="0.35">
      <c r="D63" s="278" t="s">
        <v>99</v>
      </c>
      <c r="E63" s="279">
        <f>E64+E67+E71+E77+E82+E85+E91+SUM(E95:E98)</f>
        <v>8439870000</v>
      </c>
      <c r="F63" s="73" t="s">
        <v>4</v>
      </c>
      <c r="G63" s="280"/>
      <c r="H63" s="380">
        <f t="shared" si="6"/>
        <v>0</v>
      </c>
      <c r="I63" s="83">
        <f t="shared" ref="I63:N63" si="14">SUMIF(I64:I101,"&lt;&gt;&amp;#34;")</f>
        <v>1381200000</v>
      </c>
      <c r="J63" s="83">
        <f t="shared" si="14"/>
        <v>1178700000</v>
      </c>
      <c r="K63" s="83">
        <f t="shared" si="14"/>
        <v>0</v>
      </c>
      <c r="L63" s="83">
        <f t="shared" si="14"/>
        <v>0</v>
      </c>
      <c r="M63" s="83">
        <f t="shared" si="14"/>
        <v>0</v>
      </c>
      <c r="N63" s="83">
        <f t="shared" si="14"/>
        <v>0</v>
      </c>
    </row>
    <row r="64" spans="4:14" x14ac:dyDescent="0.35">
      <c r="D64" s="11" t="s">
        <v>397</v>
      </c>
      <c r="E64" s="113">
        <f>E65+E66</f>
        <v>910000000</v>
      </c>
      <c r="F64" s="42"/>
      <c r="G64" s="282"/>
      <c r="H64" s="380">
        <f t="shared" si="6"/>
        <v>0</v>
      </c>
      <c r="I64" s="68"/>
      <c r="J64" s="68"/>
      <c r="K64" s="68"/>
      <c r="L64" s="68"/>
      <c r="M64" s="68"/>
      <c r="N64" s="68"/>
    </row>
    <row r="65" spans="4:14" x14ac:dyDescent="0.35">
      <c r="D65" s="41" t="s">
        <v>393</v>
      </c>
      <c r="E65" s="44">
        <v>610000000</v>
      </c>
      <c r="F65" s="42" t="s">
        <v>363</v>
      </c>
      <c r="G65" s="282">
        <v>1</v>
      </c>
      <c r="H65" s="380">
        <f t="shared" si="6"/>
        <v>1</v>
      </c>
      <c r="I65" s="68">
        <f>IF(ISNUMBER(G65*E65),E65*G65,"0")</f>
        <v>610000000</v>
      </c>
      <c r="J65" s="68">
        <f>IF(AND(NOT($M65),$G65="mix"),$E65,0)</f>
        <v>0</v>
      </c>
      <c r="K65" s="68" t="b">
        <f>AND(M65,G65&gt;0)</f>
        <v>0</v>
      </c>
      <c r="L65" s="68">
        <f>IF(AND(NOT($M65),$G65="inc"),$E65,0)</f>
        <v>0</v>
      </c>
      <c r="M65" s="68" t="b">
        <f>NOT(ISNUMBER($E65))</f>
        <v>0</v>
      </c>
      <c r="N65" s="68">
        <f>IF(AND(NOT(ISNUMBER(G65)),L65+K65+J65+I65=0),E65,0)</f>
        <v>0</v>
      </c>
    </row>
    <row r="66" spans="4:14" x14ac:dyDescent="0.35">
      <c r="D66" s="41" t="s">
        <v>396</v>
      </c>
      <c r="E66" s="44">
        <v>300000000</v>
      </c>
      <c r="F66" s="42" t="s">
        <v>363</v>
      </c>
      <c r="G66" s="282">
        <v>1</v>
      </c>
      <c r="H66" s="380">
        <f t="shared" si="6"/>
        <v>1</v>
      </c>
      <c r="I66" s="68">
        <f>IF(ISNUMBER(G66*E66),E66*G66,"0")</f>
        <v>300000000</v>
      </c>
      <c r="J66" s="68">
        <f>IF(AND(NOT($M66),$G66="mix"),$E66,0)</f>
        <v>0</v>
      </c>
      <c r="K66" s="68" t="b">
        <f>AND(M66,G66&gt;0)</f>
        <v>0</v>
      </c>
      <c r="L66" s="68">
        <f>IF(AND(NOT($M66),$G66="inc"),$E66,0)</f>
        <v>0</v>
      </c>
      <c r="M66" s="68" t="b">
        <f>NOT(ISNUMBER($E66))</f>
        <v>0</v>
      </c>
      <c r="N66" s="68">
        <f>IF(AND(NOT(ISNUMBER(G66)),L66+K66+J66+I66=0),E66,0)</f>
        <v>0</v>
      </c>
    </row>
    <row r="67" spans="4:14" x14ac:dyDescent="0.35">
      <c r="D67" s="11" t="s">
        <v>395</v>
      </c>
      <c r="E67" s="113">
        <f>E68+E69+E70</f>
        <v>1030900000</v>
      </c>
      <c r="F67" s="42"/>
      <c r="G67" s="282"/>
      <c r="H67" s="380">
        <f t="shared" si="6"/>
        <v>0</v>
      </c>
      <c r="I67" s="68"/>
      <c r="J67" s="68"/>
      <c r="K67" s="68"/>
      <c r="L67" s="68"/>
      <c r="M67" s="68"/>
      <c r="N67" s="68"/>
    </row>
    <row r="68" spans="4:14" x14ac:dyDescent="0.35">
      <c r="D68" s="41" t="s">
        <v>394</v>
      </c>
      <c r="E68" s="44">
        <v>299100000</v>
      </c>
      <c r="F68" s="42" t="s">
        <v>4</v>
      </c>
      <c r="G68" s="282">
        <v>0</v>
      </c>
      <c r="H68" s="380">
        <f t="shared" si="6"/>
        <v>0</v>
      </c>
      <c r="I68" s="68">
        <f>IF(ISNUMBER(G68*E68),E68*G68,"0")</f>
        <v>0</v>
      </c>
      <c r="J68" s="68">
        <f>IF(AND(NOT($M68),$G68="mix"),$E68,0)</f>
        <v>0</v>
      </c>
      <c r="K68" s="68" t="b">
        <f>AND(M68,G68&gt;0)</f>
        <v>0</v>
      </c>
      <c r="L68" s="68">
        <f>IF(AND(NOT($M68),$G68="inc"),$E68,0)</f>
        <v>0</v>
      </c>
      <c r="M68" s="68" t="b">
        <f>NOT(ISNUMBER($E68))</f>
        <v>0</v>
      </c>
      <c r="N68" s="68">
        <f>IF(AND(NOT(ISNUMBER(G68)),L68+K68+J68+I68=0),E68,0)</f>
        <v>0</v>
      </c>
    </row>
    <row r="69" spans="4:14" x14ac:dyDescent="0.35">
      <c r="D69" s="41" t="s">
        <v>393</v>
      </c>
      <c r="E69" s="44">
        <v>701800000</v>
      </c>
      <c r="F69" s="42" t="s">
        <v>363</v>
      </c>
      <c r="G69" s="282">
        <v>0</v>
      </c>
      <c r="H69" s="380">
        <f t="shared" si="6"/>
        <v>0</v>
      </c>
      <c r="I69" s="68">
        <f>IF(ISNUMBER(G69*E69),E69*G69,"0")</f>
        <v>0</v>
      </c>
      <c r="J69" s="68">
        <f>IF(AND(NOT($M69),$G69="mix"),$E69,0)</f>
        <v>0</v>
      </c>
      <c r="K69" s="68" t="b">
        <f>AND(M69,G69&gt;0)</f>
        <v>0</v>
      </c>
      <c r="L69" s="68">
        <f>IF(AND(NOT($M69),$G69="inc"),$E69,0)</f>
        <v>0</v>
      </c>
      <c r="M69" s="68" t="b">
        <f>NOT(ISNUMBER($E69))</f>
        <v>0</v>
      </c>
      <c r="N69" s="68">
        <f>IF(AND(NOT(ISNUMBER(G69)),L69+K69+J69+I69=0),E69,0)</f>
        <v>0</v>
      </c>
    </row>
    <row r="70" spans="4:14" x14ac:dyDescent="0.35">
      <c r="D70" s="41" t="s">
        <v>392</v>
      </c>
      <c r="E70" s="44">
        <v>30000000</v>
      </c>
      <c r="F70" s="42" t="s">
        <v>363</v>
      </c>
      <c r="G70" s="282">
        <v>0</v>
      </c>
      <c r="H70" s="380">
        <f t="shared" si="6"/>
        <v>0</v>
      </c>
      <c r="I70" s="68">
        <f>IF(ISNUMBER(G70*E70),E70*G70,"0")</f>
        <v>0</v>
      </c>
      <c r="J70" s="68">
        <f>IF(AND(NOT($M70),$G70="mix"),$E70,0)</f>
        <v>0</v>
      </c>
      <c r="K70" s="68" t="b">
        <f>AND(M70,G70&gt;0)</f>
        <v>0</v>
      </c>
      <c r="L70" s="68">
        <f>IF(AND(NOT($M70),$G70="inc"),$E70,0)</f>
        <v>0</v>
      </c>
      <c r="M70" s="68" t="b">
        <f>NOT(ISNUMBER($E70))</f>
        <v>0</v>
      </c>
      <c r="N70" s="68">
        <f>IF(AND(NOT(ISNUMBER(G70)),L70+K70+J70+I70=0),E70,0)</f>
        <v>0</v>
      </c>
    </row>
    <row r="71" spans="4:14" x14ac:dyDescent="0.35">
      <c r="D71" s="11" t="s">
        <v>391</v>
      </c>
      <c r="E71" s="113">
        <f>SUM(E72:E76)</f>
        <v>4459150000</v>
      </c>
      <c r="F71" s="42"/>
      <c r="G71" s="282"/>
      <c r="H71" s="380">
        <f t="shared" si="6"/>
        <v>0</v>
      </c>
      <c r="I71" s="68"/>
      <c r="J71" s="68"/>
      <c r="K71" s="68"/>
      <c r="L71" s="68"/>
      <c r="M71" s="68"/>
      <c r="N71" s="68"/>
    </row>
    <row r="72" spans="4:14" x14ac:dyDescent="0.35">
      <c r="D72" s="42" t="s">
        <v>390</v>
      </c>
      <c r="E72" s="44">
        <v>2940000000</v>
      </c>
      <c r="F72" s="42" t="s">
        <v>4</v>
      </c>
      <c r="G72" s="282">
        <v>0</v>
      </c>
      <c r="H72" s="380">
        <f t="shared" si="6"/>
        <v>0</v>
      </c>
      <c r="I72" s="68">
        <f>IF(ISNUMBER(G72*E72),E72*G72,"0")</f>
        <v>0</v>
      </c>
      <c r="J72" s="68">
        <f>IF(AND(NOT($M72),$G72="mix"),$E72,0)</f>
        <v>0</v>
      </c>
      <c r="K72" s="68" t="b">
        <f>AND(M72,G72&gt;0)</f>
        <v>0</v>
      </c>
      <c r="L72" s="68">
        <f>IF(AND(NOT($M72),$G72="inc"),$E72,0)</f>
        <v>0</v>
      </c>
      <c r="M72" s="68" t="b">
        <f>NOT(ISNUMBER($E72))</f>
        <v>0</v>
      </c>
      <c r="N72" s="68">
        <f>IF(AND(NOT(ISNUMBER(G72)),L72+K72+J72+I72=0),E72,0)</f>
        <v>0</v>
      </c>
    </row>
    <row r="73" spans="4:14" x14ac:dyDescent="0.35">
      <c r="D73" s="42" t="s">
        <v>389</v>
      </c>
      <c r="E73" s="44">
        <v>24150000</v>
      </c>
      <c r="F73" s="42" t="s">
        <v>4</v>
      </c>
      <c r="G73" s="282">
        <v>0</v>
      </c>
      <c r="H73" s="380">
        <f t="shared" ref="H73:H136" si="15">+IF(G73&lt;&gt;0, 1,0)</f>
        <v>0</v>
      </c>
      <c r="I73" s="68">
        <f>IF(ISNUMBER(G73*E73),E73*G73,"0")</f>
        <v>0</v>
      </c>
      <c r="J73" s="68">
        <f>IF(AND(NOT($M73),$G73="mix"),$E73,0)</f>
        <v>0</v>
      </c>
      <c r="K73" s="68" t="b">
        <f>AND(M73,G73&gt;0)</f>
        <v>0</v>
      </c>
      <c r="L73" s="68">
        <f>IF(AND(NOT($M73),$G73="inc"),$E73,0)</f>
        <v>0</v>
      </c>
      <c r="M73" s="68" t="b">
        <f>NOT(ISNUMBER($E73))</f>
        <v>0</v>
      </c>
      <c r="N73" s="68">
        <f>IF(AND(NOT(ISNUMBER(G73)),L73+K73+J73+I73=0),E73,0)</f>
        <v>0</v>
      </c>
    </row>
    <row r="74" spans="4:14" x14ac:dyDescent="0.35">
      <c r="D74" s="42" t="s">
        <v>388</v>
      </c>
      <c r="E74" s="44">
        <v>254000000</v>
      </c>
      <c r="F74" s="42" t="s">
        <v>363</v>
      </c>
      <c r="G74" s="288">
        <v>1</v>
      </c>
      <c r="H74" s="380">
        <f t="shared" si="15"/>
        <v>1</v>
      </c>
      <c r="I74" s="68">
        <f>IF(ISNUMBER(G74*E74),E74*G74,"0")</f>
        <v>254000000</v>
      </c>
      <c r="J74" s="68">
        <f>IF(AND(NOT($M74),$G74="mix"),$E74,0)</f>
        <v>0</v>
      </c>
      <c r="K74" s="68" t="b">
        <f>AND(M74,G74&gt;0)</f>
        <v>0</v>
      </c>
      <c r="L74" s="68">
        <f>IF(AND(NOT($M74),$G74="inc"),$E74,0)</f>
        <v>0</v>
      </c>
      <c r="M74" s="68" t="b">
        <f>NOT(ISNUMBER($E74))</f>
        <v>0</v>
      </c>
      <c r="N74" s="68">
        <f>IF(AND(NOT(ISNUMBER(G74)),L74+K74+J74+I74=0),E74,0)</f>
        <v>0</v>
      </c>
    </row>
    <row r="75" spans="4:14" x14ac:dyDescent="0.35">
      <c r="D75" s="42" t="s">
        <v>387</v>
      </c>
      <c r="E75" s="44">
        <v>144000000</v>
      </c>
      <c r="F75" s="42" t="s">
        <v>363</v>
      </c>
      <c r="G75" s="288">
        <v>0</v>
      </c>
      <c r="H75" s="380">
        <f t="shared" si="15"/>
        <v>0</v>
      </c>
      <c r="I75" s="68">
        <f>IF(ISNUMBER(G75*E75),E75*G75,"0")</f>
        <v>0</v>
      </c>
      <c r="J75" s="68">
        <f>IF(AND(NOT($M75),$G75="mix"),$E75,0)</f>
        <v>0</v>
      </c>
      <c r="K75" s="68" t="b">
        <f>AND(M75,G75&gt;0)</f>
        <v>0</v>
      </c>
      <c r="L75" s="68">
        <f>IF(AND(NOT($M75),$G75="inc"),$E75,0)</f>
        <v>0</v>
      </c>
      <c r="M75" s="68" t="b">
        <f>NOT(ISNUMBER($E75))</f>
        <v>0</v>
      </c>
      <c r="N75" s="68">
        <f>IF(AND(NOT(ISNUMBER(G75)),L75+K75+J75+I75=0),E75,0)</f>
        <v>0</v>
      </c>
    </row>
    <row r="76" spans="4:14" x14ac:dyDescent="0.35">
      <c r="D76" s="42" t="s">
        <v>386</v>
      </c>
      <c r="E76" s="44">
        <v>1097000000</v>
      </c>
      <c r="F76" s="42" t="s">
        <v>363</v>
      </c>
      <c r="G76" s="282">
        <v>0</v>
      </c>
      <c r="H76" s="380">
        <f t="shared" si="15"/>
        <v>0</v>
      </c>
      <c r="I76" s="68">
        <f>IF(ISNUMBER(G76*E76),E76*G76,"0")</f>
        <v>0</v>
      </c>
      <c r="J76" s="68">
        <f>IF(AND(NOT($M76),$G76="mix"),$E76,0)</f>
        <v>0</v>
      </c>
      <c r="K76" s="68" t="b">
        <f>AND(M76,G76&gt;0)</f>
        <v>0</v>
      </c>
      <c r="L76" s="68">
        <f>IF(AND(NOT($M76),$G76="inc"),$E76,0)</f>
        <v>0</v>
      </c>
      <c r="M76" s="68" t="b">
        <f>NOT(ISNUMBER($E76))</f>
        <v>0</v>
      </c>
      <c r="N76" s="68">
        <f>IF(AND(NOT(ISNUMBER(G76)),L76+K76+J76+I76=0),E76,0)</f>
        <v>0</v>
      </c>
    </row>
    <row r="77" spans="4:14" x14ac:dyDescent="0.35">
      <c r="D77" s="11" t="s">
        <v>385</v>
      </c>
      <c r="E77" s="113">
        <f>SUM(E78:E81)</f>
        <v>265300000</v>
      </c>
      <c r="F77" s="42" t="s">
        <v>4</v>
      </c>
      <c r="G77" s="289"/>
      <c r="H77" s="380">
        <f t="shared" si="15"/>
        <v>0</v>
      </c>
      <c r="I77" s="68"/>
      <c r="J77" s="68"/>
      <c r="K77" s="68"/>
      <c r="L77" s="68"/>
      <c r="M77" s="68"/>
      <c r="N77" s="68"/>
    </row>
    <row r="78" spans="4:14" x14ac:dyDescent="0.35">
      <c r="D78" s="42" t="s">
        <v>384</v>
      </c>
      <c r="E78" s="44">
        <v>253300000</v>
      </c>
      <c r="F78" s="42" t="s">
        <v>4</v>
      </c>
      <c r="G78" s="290" t="s">
        <v>27</v>
      </c>
      <c r="H78" s="380">
        <f t="shared" si="15"/>
        <v>1</v>
      </c>
      <c r="I78" s="68" t="str">
        <f>IF(ISNUMBER(G78*E78),E78*G78,"0")</f>
        <v>0</v>
      </c>
      <c r="J78" s="68">
        <f>IF(AND(NOT($M78),$G78="mix"),$E78,0)</f>
        <v>253300000</v>
      </c>
      <c r="K78" s="68" t="b">
        <f>AND(M78,G78&gt;0)</f>
        <v>0</v>
      </c>
      <c r="L78" s="68">
        <f>IF(AND(NOT($M78),$G78="inc"),$E78,0)</f>
        <v>0</v>
      </c>
      <c r="M78" s="68" t="b">
        <f>NOT(ISNUMBER($E78))</f>
        <v>0</v>
      </c>
      <c r="N78" s="68">
        <f>IF(AND(NOT(ISNUMBER(G78)),L78+K78+J78+I78=0),E78,0)</f>
        <v>0</v>
      </c>
    </row>
    <row r="79" spans="4:14" x14ac:dyDescent="0.35">
      <c r="D79" s="42" t="s">
        <v>383</v>
      </c>
      <c r="E79" s="44">
        <v>1900000</v>
      </c>
      <c r="F79" s="42" t="s">
        <v>4</v>
      </c>
      <c r="G79" s="282">
        <v>0</v>
      </c>
      <c r="H79" s="380">
        <f t="shared" si="15"/>
        <v>0</v>
      </c>
      <c r="I79" s="68">
        <f>IF(ISNUMBER(G79*E79),E79*G79,"0")</f>
        <v>0</v>
      </c>
      <c r="J79" s="68">
        <f>IF(AND(NOT($M79),$G79="mix"),$E79,0)</f>
        <v>0</v>
      </c>
      <c r="K79" s="68" t="b">
        <f>AND(M79,G79&gt;0)</f>
        <v>0</v>
      </c>
      <c r="L79" s="68">
        <f>IF(AND(NOT($M79),$G79="inc"),$E79,0)</f>
        <v>0</v>
      </c>
      <c r="M79" s="68" t="b">
        <f>NOT(ISNUMBER($E79))</f>
        <v>0</v>
      </c>
      <c r="N79" s="68">
        <f>IF(AND(NOT(ISNUMBER(G79)),L79+K79+J79+I79=0),E79,0)</f>
        <v>0</v>
      </c>
    </row>
    <row r="80" spans="4:14" x14ac:dyDescent="0.35">
      <c r="D80" s="42" t="s">
        <v>382</v>
      </c>
      <c r="E80" s="44">
        <v>1600000</v>
      </c>
      <c r="F80" s="42" t="s">
        <v>363</v>
      </c>
      <c r="G80" s="289" t="s">
        <v>27</v>
      </c>
      <c r="H80" s="380">
        <f t="shared" si="15"/>
        <v>1</v>
      </c>
      <c r="I80" s="68" t="str">
        <f>IF(ISNUMBER(G80*E80),E80*G80,"0")</f>
        <v>0</v>
      </c>
      <c r="J80" s="68">
        <f>IF(AND(NOT($M80),$G80="mix"),$E80,0)</f>
        <v>1600000</v>
      </c>
      <c r="K80" s="68" t="b">
        <f>AND(M80,G80&gt;0)</f>
        <v>0</v>
      </c>
      <c r="L80" s="68">
        <f>IF(AND(NOT($M80),$G80="inc"),$E80,0)</f>
        <v>0</v>
      </c>
      <c r="M80" s="68" t="b">
        <f>NOT(ISNUMBER($E80))</f>
        <v>0</v>
      </c>
      <c r="N80" s="68">
        <f>IF(AND(NOT(ISNUMBER(G80)),L80+K80+J80+I80=0),E80,0)</f>
        <v>0</v>
      </c>
    </row>
    <row r="81" spans="4:14" x14ac:dyDescent="0.35">
      <c r="D81" s="42" t="s">
        <v>381</v>
      </c>
      <c r="E81" s="44">
        <v>8500000</v>
      </c>
      <c r="F81" s="42" t="s">
        <v>363</v>
      </c>
      <c r="G81" s="289" t="s">
        <v>27</v>
      </c>
      <c r="H81" s="380">
        <f t="shared" si="15"/>
        <v>1</v>
      </c>
      <c r="I81" s="68" t="str">
        <f>IF(ISNUMBER(G81*E81),E81*G81,"0")</f>
        <v>0</v>
      </c>
      <c r="J81" s="68">
        <f>IF(AND(NOT($M81),$G81="mix"),$E81,0)</f>
        <v>8500000</v>
      </c>
      <c r="K81" s="68" t="b">
        <f>AND(M81,G81&gt;0)</f>
        <v>0</v>
      </c>
      <c r="L81" s="68">
        <f>IF(AND(NOT($M81),$G81="inc"),$E81,0)</f>
        <v>0</v>
      </c>
      <c r="M81" s="68" t="b">
        <f>NOT(ISNUMBER($E81))</f>
        <v>0</v>
      </c>
      <c r="N81" s="68">
        <f>IF(AND(NOT(ISNUMBER(G81)),L81+K81+J81+I81=0),E81,0)</f>
        <v>0</v>
      </c>
    </row>
    <row r="82" spans="4:14" x14ac:dyDescent="0.35">
      <c r="D82" s="11" t="s">
        <v>380</v>
      </c>
      <c r="E82" s="113">
        <f>E83+E84</f>
        <v>170900000</v>
      </c>
      <c r="F82" s="42" t="s">
        <v>4</v>
      </c>
      <c r="G82" s="289"/>
      <c r="H82" s="380">
        <f t="shared" si="15"/>
        <v>0</v>
      </c>
      <c r="I82" s="68"/>
      <c r="J82" s="68"/>
      <c r="K82" s="68"/>
      <c r="L82" s="68"/>
      <c r="M82" s="68"/>
      <c r="N82" s="68"/>
    </row>
    <row r="83" spans="4:14" x14ac:dyDescent="0.35">
      <c r="D83" s="42" t="s">
        <v>379</v>
      </c>
      <c r="E83" s="44">
        <v>92500000</v>
      </c>
      <c r="F83" s="42" t="s">
        <v>4</v>
      </c>
      <c r="G83" s="282">
        <v>1</v>
      </c>
      <c r="H83" s="380">
        <f t="shared" si="15"/>
        <v>1</v>
      </c>
      <c r="I83" s="68">
        <f>IF(ISNUMBER(G83*E83),E83*G83,"0")</f>
        <v>92500000</v>
      </c>
      <c r="J83" s="68">
        <f>IF(AND(NOT($M83),$G83="mix"),$E83,0)</f>
        <v>0</v>
      </c>
      <c r="K83" s="68" t="b">
        <f>AND(M83,G83&gt;0)</f>
        <v>0</v>
      </c>
      <c r="L83" s="68">
        <f>IF(AND(NOT($M83),$G83="inc"),$E83,0)</f>
        <v>0</v>
      </c>
      <c r="M83" s="68" t="b">
        <f>NOT(ISNUMBER($E83))</f>
        <v>0</v>
      </c>
      <c r="N83" s="68">
        <f>IF(AND(NOT(ISNUMBER(G83)),L83+K83+J83+I83=0),E83,0)</f>
        <v>0</v>
      </c>
    </row>
    <row r="84" spans="4:14" x14ac:dyDescent="0.35">
      <c r="D84" s="42" t="s">
        <v>378</v>
      </c>
      <c r="E84" s="44">
        <v>78400000</v>
      </c>
      <c r="F84" s="42" t="s">
        <v>363</v>
      </c>
      <c r="G84" s="282">
        <v>1</v>
      </c>
      <c r="H84" s="380">
        <f t="shared" si="15"/>
        <v>1</v>
      </c>
      <c r="I84" s="68">
        <f>IF(ISNUMBER(G84*E84),E84*G84,"0")</f>
        <v>78400000</v>
      </c>
      <c r="J84" s="68">
        <f>IF(AND(NOT($M84),$G84="mix"),$E84,0)</f>
        <v>0</v>
      </c>
      <c r="K84" s="68" t="b">
        <f>AND(M84,G84&gt;0)</f>
        <v>0</v>
      </c>
      <c r="L84" s="68">
        <f>IF(AND(NOT($M84),$G84="inc"),$E84,0)</f>
        <v>0</v>
      </c>
      <c r="M84" s="68" t="b">
        <f>NOT(ISNUMBER($E84))</f>
        <v>0</v>
      </c>
      <c r="N84" s="68">
        <f>IF(AND(NOT(ISNUMBER(G84)),L84+K84+J84+I84=0),E84,0)</f>
        <v>0</v>
      </c>
    </row>
    <row r="85" spans="4:14" x14ac:dyDescent="0.35">
      <c r="D85" s="11" t="s">
        <v>377</v>
      </c>
      <c r="E85" s="113">
        <f>SUM(E86:E90)</f>
        <v>1041900000</v>
      </c>
      <c r="F85" s="42"/>
      <c r="G85" s="288"/>
      <c r="H85" s="380">
        <f t="shared" si="15"/>
        <v>0</v>
      </c>
      <c r="I85" s="68"/>
      <c r="J85" s="68"/>
      <c r="K85" s="68"/>
      <c r="L85" s="68"/>
      <c r="M85" s="68"/>
      <c r="N85" s="68"/>
    </row>
    <row r="86" spans="4:14" x14ac:dyDescent="0.35">
      <c r="D86" s="42" t="s">
        <v>376</v>
      </c>
      <c r="E86" s="44">
        <v>528500000</v>
      </c>
      <c r="F86" s="42" t="s">
        <v>363</v>
      </c>
      <c r="G86" s="288" t="s">
        <v>27</v>
      </c>
      <c r="H86" s="380">
        <f t="shared" si="15"/>
        <v>1</v>
      </c>
      <c r="I86" s="68" t="str">
        <f>IF(ISNUMBER(G86*E86),E86*G86,"0")</f>
        <v>0</v>
      </c>
      <c r="J86" s="68">
        <f>IF(AND(NOT($M86),$G86="mix"),$E86,0)</f>
        <v>528500000</v>
      </c>
      <c r="K86" s="68" t="b">
        <f>AND(M86,G86&gt;0)</f>
        <v>0</v>
      </c>
      <c r="L86" s="68">
        <f>IF(AND(NOT($M86),$G86="inc"),$E86,0)</f>
        <v>0</v>
      </c>
      <c r="M86" s="68" t="b">
        <f>NOT(ISNUMBER($E86))</f>
        <v>0</v>
      </c>
      <c r="N86" s="68">
        <f>IF(AND(NOT(ISNUMBER(G86)),L86+K86+J86+I86=0),E86,0)</f>
        <v>0</v>
      </c>
    </row>
    <row r="87" spans="4:14" x14ac:dyDescent="0.35">
      <c r="D87" s="42" t="s">
        <v>375</v>
      </c>
      <c r="E87" s="44">
        <v>2200000</v>
      </c>
      <c r="F87" s="42" t="s">
        <v>4</v>
      </c>
      <c r="G87" s="282">
        <v>0</v>
      </c>
      <c r="H87" s="380">
        <f t="shared" si="15"/>
        <v>0</v>
      </c>
      <c r="I87" s="68">
        <f>IF(ISNUMBER(G87*E87),E87*G87,"0")</f>
        <v>0</v>
      </c>
      <c r="J87" s="68">
        <f>IF(AND(NOT($M87),$G87="mix"),$E87,0)</f>
        <v>0</v>
      </c>
      <c r="K87" s="68" t="b">
        <f>AND(M87,G87&gt;0)</f>
        <v>0</v>
      </c>
      <c r="L87" s="68">
        <f>IF(AND(NOT($M87),$G87="inc"),$E87,0)</f>
        <v>0</v>
      </c>
      <c r="M87" s="68" t="b">
        <f>NOT(ISNUMBER($E87))</f>
        <v>0</v>
      </c>
      <c r="N87" s="68">
        <f>IF(AND(NOT(ISNUMBER(G87)),L87+K87+J87+I87=0),E87,0)</f>
        <v>0</v>
      </c>
    </row>
    <row r="88" spans="4:14" x14ac:dyDescent="0.35">
      <c r="D88" s="42" t="s">
        <v>374</v>
      </c>
      <c r="E88" s="44">
        <v>26000000</v>
      </c>
      <c r="F88" s="42" t="s">
        <v>4</v>
      </c>
      <c r="G88" s="282">
        <v>0</v>
      </c>
      <c r="H88" s="380">
        <f t="shared" si="15"/>
        <v>0</v>
      </c>
      <c r="I88" s="68">
        <f>IF(ISNUMBER(G88*E88),E88*G88,"0")</f>
        <v>0</v>
      </c>
      <c r="J88" s="68">
        <f>IF(AND(NOT($M88),$G88="mix"),$E88,0)</f>
        <v>0</v>
      </c>
      <c r="K88" s="68" t="b">
        <f>AND(M88,G88&gt;0)</f>
        <v>0</v>
      </c>
      <c r="L88" s="68">
        <f>IF(AND(NOT($M88),$G88="inc"),$E88,0)</f>
        <v>0</v>
      </c>
      <c r="M88" s="68" t="b">
        <f>NOT(ISNUMBER($E88))</f>
        <v>0</v>
      </c>
      <c r="N88" s="68">
        <f>IF(AND(NOT(ISNUMBER(G88)),L88+K88+J88+I88=0),E88,0)</f>
        <v>0</v>
      </c>
    </row>
    <row r="89" spans="4:14" x14ac:dyDescent="0.35">
      <c r="D89" s="42" t="s">
        <v>373</v>
      </c>
      <c r="E89" s="44">
        <v>147400000</v>
      </c>
      <c r="F89" s="42" t="s">
        <v>363</v>
      </c>
      <c r="G89" s="288" t="s">
        <v>27</v>
      </c>
      <c r="H89" s="380">
        <f t="shared" si="15"/>
        <v>1</v>
      </c>
      <c r="I89" s="68" t="str">
        <f>IF(ISNUMBER(G89*E89),E89*G89,"0")</f>
        <v>0</v>
      </c>
      <c r="J89" s="68">
        <f>IF(AND(NOT($M89),$G89="mix"),$E89,0)</f>
        <v>147400000</v>
      </c>
      <c r="K89" s="68" t="b">
        <f>AND(M89,G89&gt;0)</f>
        <v>0</v>
      </c>
      <c r="L89" s="68">
        <f>IF(AND(NOT($M89),$G89="inc"),$E89,0)</f>
        <v>0</v>
      </c>
      <c r="M89" s="68" t="b">
        <f>NOT(ISNUMBER($E89))</f>
        <v>0</v>
      </c>
      <c r="N89" s="68">
        <f>IF(AND(NOT(ISNUMBER(G89)),L89+K89+J89+I89=0),E89,0)</f>
        <v>0</v>
      </c>
    </row>
    <row r="90" spans="4:14" x14ac:dyDescent="0.35">
      <c r="D90" s="42" t="s">
        <v>372</v>
      </c>
      <c r="E90" s="44">
        <v>337800000</v>
      </c>
      <c r="F90" s="42" t="s">
        <v>4</v>
      </c>
      <c r="G90" s="282">
        <v>0</v>
      </c>
      <c r="H90" s="380">
        <f t="shared" si="15"/>
        <v>0</v>
      </c>
      <c r="I90" s="68">
        <f>IF(ISNUMBER(G90*E90),E90*G90,"0")</f>
        <v>0</v>
      </c>
      <c r="J90" s="68">
        <f>IF(AND(NOT($M90),$G90="mix"),$E90,0)</f>
        <v>0</v>
      </c>
      <c r="K90" s="68" t="b">
        <f>AND(M90,G90&gt;0)</f>
        <v>0</v>
      </c>
      <c r="L90" s="68">
        <f>IF(AND(NOT($M90),$G90="inc"),$E90,0)</f>
        <v>0</v>
      </c>
      <c r="M90" s="68" t="b">
        <f>NOT(ISNUMBER($E90))</f>
        <v>0</v>
      </c>
      <c r="N90" s="68">
        <f>IF(AND(NOT(ISNUMBER(G90)),L90+K90+J90+I90=0),E90,0)</f>
        <v>0</v>
      </c>
    </row>
    <row r="91" spans="4:14" x14ac:dyDescent="0.35">
      <c r="D91" s="11" t="s">
        <v>371</v>
      </c>
      <c r="E91" s="113">
        <f>SUM(E92:E94)</f>
        <v>243400000</v>
      </c>
      <c r="F91" s="42"/>
      <c r="G91" s="288"/>
      <c r="H91" s="380">
        <f t="shared" si="15"/>
        <v>0</v>
      </c>
      <c r="I91" s="68"/>
      <c r="J91" s="68"/>
      <c r="K91" s="68"/>
      <c r="L91" s="68"/>
      <c r="M91" s="68"/>
      <c r="N91" s="68"/>
    </row>
    <row r="92" spans="4:14" x14ac:dyDescent="0.35">
      <c r="D92" s="42" t="s">
        <v>370</v>
      </c>
      <c r="E92" s="44">
        <v>107400000</v>
      </c>
      <c r="F92" s="42" t="s">
        <v>363</v>
      </c>
      <c r="G92" s="288" t="s">
        <v>27</v>
      </c>
      <c r="H92" s="380">
        <f t="shared" si="15"/>
        <v>1</v>
      </c>
      <c r="I92" s="68" t="str">
        <f t="shared" ref="I92:I97" si="16">IF(ISNUMBER(G92*E92),E92*G92,"0")</f>
        <v>0</v>
      </c>
      <c r="J92" s="68">
        <f t="shared" ref="J92:J97" si="17">IF(AND(NOT($M92),$G92="mix"),$E92,0)</f>
        <v>107400000</v>
      </c>
      <c r="K92" s="68" t="b">
        <f t="shared" ref="K92:K97" si="18">AND(M92,G92&gt;0)</f>
        <v>0</v>
      </c>
      <c r="L92" s="68">
        <f t="shared" ref="L92:L97" si="19">IF(AND(NOT($M92),$G92="inc"),$E92,0)</f>
        <v>0</v>
      </c>
      <c r="M92" s="68" t="b">
        <f t="shared" ref="M92:M97" si="20">NOT(ISNUMBER($E92))</f>
        <v>0</v>
      </c>
      <c r="N92" s="68">
        <f t="shared" ref="N92:N97" si="21">IF(AND(NOT(ISNUMBER(G92)),L92+K92+J92+I92=0),E92,0)</f>
        <v>0</v>
      </c>
    </row>
    <row r="93" spans="4:14" x14ac:dyDescent="0.35">
      <c r="D93" s="42" t="s">
        <v>369</v>
      </c>
      <c r="E93" s="44">
        <v>132000000</v>
      </c>
      <c r="F93" s="42" t="s">
        <v>4</v>
      </c>
      <c r="G93" s="282" t="s">
        <v>27</v>
      </c>
      <c r="H93" s="380">
        <f t="shared" si="15"/>
        <v>1</v>
      </c>
      <c r="I93" s="68" t="str">
        <f t="shared" si="16"/>
        <v>0</v>
      </c>
      <c r="J93" s="68">
        <f t="shared" si="17"/>
        <v>132000000</v>
      </c>
      <c r="K93" s="68" t="b">
        <f t="shared" si="18"/>
        <v>0</v>
      </c>
      <c r="L93" s="68">
        <f t="shared" si="19"/>
        <v>0</v>
      </c>
      <c r="M93" s="68" t="b">
        <f t="shared" si="20"/>
        <v>0</v>
      </c>
      <c r="N93" s="68">
        <f t="shared" si="21"/>
        <v>0</v>
      </c>
    </row>
    <row r="94" spans="4:14" x14ac:dyDescent="0.35">
      <c r="D94" s="42" t="s">
        <v>368</v>
      </c>
      <c r="E94" s="44">
        <v>4000000</v>
      </c>
      <c r="F94" s="42" t="s">
        <v>4</v>
      </c>
      <c r="G94" s="282">
        <v>0</v>
      </c>
      <c r="H94" s="380">
        <f t="shared" si="15"/>
        <v>0</v>
      </c>
      <c r="I94" s="68">
        <f t="shared" si="16"/>
        <v>0</v>
      </c>
      <c r="J94" s="68">
        <f t="shared" si="17"/>
        <v>0</v>
      </c>
      <c r="K94" s="68" t="b">
        <f t="shared" si="18"/>
        <v>0</v>
      </c>
      <c r="L94" s="68">
        <f t="shared" si="19"/>
        <v>0</v>
      </c>
      <c r="M94" s="68" t="b">
        <f t="shared" si="20"/>
        <v>0</v>
      </c>
      <c r="N94" s="68">
        <f t="shared" si="21"/>
        <v>0</v>
      </c>
    </row>
    <row r="95" spans="4:14" x14ac:dyDescent="0.35">
      <c r="D95" s="11" t="s">
        <v>367</v>
      </c>
      <c r="E95" s="113">
        <v>59270000</v>
      </c>
      <c r="F95" s="42" t="s">
        <v>366</v>
      </c>
      <c r="G95" s="282">
        <v>0</v>
      </c>
      <c r="H95" s="380">
        <f t="shared" si="15"/>
        <v>0</v>
      </c>
      <c r="I95" s="68">
        <f t="shared" si="16"/>
        <v>0</v>
      </c>
      <c r="J95" s="68">
        <f t="shared" si="17"/>
        <v>0</v>
      </c>
      <c r="K95" s="68" t="b">
        <f t="shared" si="18"/>
        <v>0</v>
      </c>
      <c r="L95" s="68">
        <f t="shared" si="19"/>
        <v>0</v>
      </c>
      <c r="M95" s="68" t="b">
        <f t="shared" si="20"/>
        <v>0</v>
      </c>
      <c r="N95" s="68">
        <f t="shared" si="21"/>
        <v>0</v>
      </c>
    </row>
    <row r="96" spans="4:14" x14ac:dyDescent="0.35">
      <c r="D96" s="11" t="s">
        <v>365</v>
      </c>
      <c r="E96" s="113">
        <v>167300000</v>
      </c>
      <c r="F96" s="42" t="s">
        <v>4</v>
      </c>
      <c r="G96" s="282">
        <v>0</v>
      </c>
      <c r="H96" s="380">
        <f t="shared" si="15"/>
        <v>0</v>
      </c>
      <c r="I96" s="68">
        <f t="shared" si="16"/>
        <v>0</v>
      </c>
      <c r="J96" s="68">
        <f t="shared" si="17"/>
        <v>0</v>
      </c>
      <c r="K96" s="68" t="b">
        <f t="shared" si="18"/>
        <v>0</v>
      </c>
      <c r="L96" s="68">
        <f t="shared" si="19"/>
        <v>0</v>
      </c>
      <c r="M96" s="68" t="b">
        <f t="shared" si="20"/>
        <v>0</v>
      </c>
      <c r="N96" s="68">
        <f t="shared" si="21"/>
        <v>0</v>
      </c>
    </row>
    <row r="97" spans="4:19" x14ac:dyDescent="0.35">
      <c r="D97" s="11" t="s">
        <v>364</v>
      </c>
      <c r="E97" s="113">
        <v>45000000</v>
      </c>
      <c r="F97" s="42" t="s">
        <v>363</v>
      </c>
      <c r="G97" s="282">
        <v>0</v>
      </c>
      <c r="H97" s="380">
        <f t="shared" si="15"/>
        <v>0</v>
      </c>
      <c r="I97" s="68">
        <f t="shared" si="16"/>
        <v>0</v>
      </c>
      <c r="J97" s="68">
        <f t="shared" si="17"/>
        <v>0</v>
      </c>
      <c r="K97" s="68" t="b">
        <f t="shared" si="18"/>
        <v>0</v>
      </c>
      <c r="L97" s="68">
        <f t="shared" si="19"/>
        <v>0</v>
      </c>
      <c r="M97" s="68" t="b">
        <f t="shared" si="20"/>
        <v>0</v>
      </c>
      <c r="N97" s="68">
        <f t="shared" si="21"/>
        <v>0</v>
      </c>
    </row>
    <row r="98" spans="4:19" x14ac:dyDescent="0.35">
      <c r="D98" s="11" t="s">
        <v>362</v>
      </c>
      <c r="E98" s="113">
        <f>SUM(E99:E101)</f>
        <v>46750000</v>
      </c>
      <c r="F98" s="42" t="s">
        <v>4</v>
      </c>
      <c r="G98" s="288"/>
      <c r="H98" s="380">
        <f t="shared" si="15"/>
        <v>0</v>
      </c>
      <c r="I98" s="68"/>
      <c r="J98" s="68"/>
      <c r="K98" s="68"/>
      <c r="L98" s="68"/>
      <c r="M98" s="68"/>
      <c r="N98" s="68"/>
    </row>
    <row r="99" spans="4:19" x14ac:dyDescent="0.35">
      <c r="D99" s="42" t="s">
        <v>361</v>
      </c>
      <c r="E99" s="44">
        <v>21600000</v>
      </c>
      <c r="F99" s="42" t="s">
        <v>4</v>
      </c>
      <c r="G99" s="282">
        <v>1</v>
      </c>
      <c r="H99" s="380">
        <f t="shared" si="15"/>
        <v>1</v>
      </c>
      <c r="I99" s="68">
        <f>IF(ISNUMBER(G99*E99),E99*G99,"0")</f>
        <v>21600000</v>
      </c>
      <c r="J99" s="68">
        <f>IF(AND(NOT($M99),$G99="mix"),$E99,0)</f>
        <v>0</v>
      </c>
      <c r="K99" s="68" t="b">
        <f>AND(M99,G99&gt;0)</f>
        <v>0</v>
      </c>
      <c r="L99" s="68">
        <f>IF(AND(NOT($M99),$G99="inc"),$E99,0)</f>
        <v>0</v>
      </c>
      <c r="M99" s="68" t="b">
        <f>NOT(ISNUMBER($E99))</f>
        <v>0</v>
      </c>
      <c r="N99" s="68">
        <f>IF(AND(NOT(ISNUMBER(G99)),L99+K99+J99+I99=0),E99,0)</f>
        <v>0</v>
      </c>
    </row>
    <row r="100" spans="4:19" x14ac:dyDescent="0.35">
      <c r="D100" s="42" t="s">
        <v>360</v>
      </c>
      <c r="E100" s="44">
        <v>24700000</v>
      </c>
      <c r="F100" s="42" t="s">
        <v>4</v>
      </c>
      <c r="G100" s="282">
        <v>1</v>
      </c>
      <c r="H100" s="380">
        <f t="shared" si="15"/>
        <v>1</v>
      </c>
      <c r="I100" s="68">
        <f>IF(ISNUMBER(G100*E100),E100*G100,"0")</f>
        <v>24700000</v>
      </c>
      <c r="J100" s="68">
        <f>IF(AND(NOT($M100),$G100="mix"),$E100,0)</f>
        <v>0</v>
      </c>
      <c r="K100" s="68" t="b">
        <f>AND(M100,G100&gt;0)</f>
        <v>0</v>
      </c>
      <c r="L100" s="68">
        <f>IF(AND(NOT($M100),$G100="inc"),$E100,0)</f>
        <v>0</v>
      </c>
      <c r="M100" s="68" t="b">
        <f>NOT(ISNUMBER($E100))</f>
        <v>0</v>
      </c>
      <c r="N100" s="68">
        <f>IF(AND(NOT(ISNUMBER(G100)),L100+K100+J100+I100=0),E100,0)</f>
        <v>0</v>
      </c>
    </row>
    <row r="101" spans="4:19" x14ac:dyDescent="0.35">
      <c r="D101" s="42" t="s">
        <v>359</v>
      </c>
      <c r="E101" s="44">
        <v>450000</v>
      </c>
      <c r="F101" s="42" t="s">
        <v>4</v>
      </c>
      <c r="G101" s="282">
        <v>0</v>
      </c>
      <c r="H101" s="380">
        <f t="shared" si="15"/>
        <v>0</v>
      </c>
      <c r="I101" s="68">
        <f>IF(ISNUMBER(G101*E101),E101*G101,"0")</f>
        <v>0</v>
      </c>
      <c r="J101" s="68">
        <f>IF(AND(NOT($M101),$G101="mix"),$E101,0)</f>
        <v>0</v>
      </c>
      <c r="K101" s="68" t="b">
        <f>AND(M101,G101&gt;0)</f>
        <v>0</v>
      </c>
      <c r="L101" s="68">
        <f>IF(AND(NOT($M101),$G101="inc"),$E101,0)</f>
        <v>0</v>
      </c>
      <c r="M101" s="68" t="b">
        <f>NOT(ISNUMBER($E101))</f>
        <v>0</v>
      </c>
      <c r="N101" s="68">
        <f>IF(AND(NOT(ISNUMBER(G101)),L101+K101+J101+I101=0),E101,0)</f>
        <v>0</v>
      </c>
    </row>
    <row r="102" spans="4:19" x14ac:dyDescent="0.35">
      <c r="D102" s="278" t="s">
        <v>98</v>
      </c>
      <c r="E102" s="291">
        <f>SUM(E103:E105)</f>
        <v>464470090</v>
      </c>
      <c r="F102" s="73"/>
      <c r="G102" s="292"/>
      <c r="H102" s="380">
        <f t="shared" si="15"/>
        <v>0</v>
      </c>
      <c r="I102" s="83">
        <f t="shared" ref="I102:N102" si="22">SUMIF(I103:I105,"&lt;&gt;&amp;#34;")</f>
        <v>0</v>
      </c>
      <c r="J102" s="83">
        <f t="shared" si="22"/>
        <v>0</v>
      </c>
      <c r="K102" s="83">
        <f t="shared" si="22"/>
        <v>0</v>
      </c>
      <c r="L102" s="83">
        <f t="shared" si="22"/>
        <v>422670090</v>
      </c>
      <c r="M102" s="83">
        <f t="shared" si="22"/>
        <v>0</v>
      </c>
      <c r="N102" s="83">
        <f t="shared" si="22"/>
        <v>0</v>
      </c>
    </row>
    <row r="103" spans="4:19" x14ac:dyDescent="0.35">
      <c r="D103" s="11" t="s">
        <v>358</v>
      </c>
      <c r="E103" s="113">
        <v>418035090</v>
      </c>
      <c r="F103" s="42" t="s">
        <v>4</v>
      </c>
      <c r="G103" s="282" t="s">
        <v>264</v>
      </c>
      <c r="H103" s="380">
        <f t="shared" si="15"/>
        <v>1</v>
      </c>
      <c r="I103" s="68" t="str">
        <f>IF(ISNUMBER(G103*E103),E103*G103,"0")</f>
        <v>0</v>
      </c>
      <c r="J103" s="68">
        <f>IF(AND(NOT($M103),$G103="mix"),$E103,0)</f>
        <v>0</v>
      </c>
      <c r="K103" s="68" t="b">
        <f>AND(M103,G103&gt;0)</f>
        <v>0</v>
      </c>
      <c r="L103" s="68">
        <f>IF(AND(NOT($M103),$G103="inc"),$E103,0)</f>
        <v>418035090</v>
      </c>
      <c r="M103" s="68" t="b">
        <f>NOT(ISNUMBER($E103))</f>
        <v>0</v>
      </c>
      <c r="N103" s="68">
        <f>IF(AND(NOT(ISNUMBER(G103)),L103+K103+J103+I103=0),E103,0)</f>
        <v>0</v>
      </c>
    </row>
    <row r="104" spans="4:19" x14ac:dyDescent="0.35">
      <c r="D104" s="11" t="s">
        <v>357</v>
      </c>
      <c r="E104" s="113">
        <v>4635000</v>
      </c>
      <c r="F104" s="42" t="s">
        <v>4</v>
      </c>
      <c r="G104" s="282" t="s">
        <v>264</v>
      </c>
      <c r="H104" s="380">
        <f t="shared" si="15"/>
        <v>1</v>
      </c>
      <c r="I104" s="68" t="str">
        <f>IF(ISNUMBER(G104*E104),E104*G104,"0")</f>
        <v>0</v>
      </c>
      <c r="J104" s="68">
        <f>IF(AND(NOT($M104),$G104="mix"),$E104,0)</f>
        <v>0</v>
      </c>
      <c r="K104" s="68" t="b">
        <f>AND(M104,G104&gt;0)</f>
        <v>0</v>
      </c>
      <c r="L104" s="68">
        <f>IF(AND(NOT($M104),$G104="inc"),$E104,0)</f>
        <v>4635000</v>
      </c>
      <c r="M104" s="68" t="b">
        <f>NOT(ISNUMBER($E104))</f>
        <v>0</v>
      </c>
      <c r="N104" s="68">
        <f>IF(AND(NOT(ISNUMBER(G104)),L104+K104+J104+I104=0),E104,0)</f>
        <v>0</v>
      </c>
      <c r="P104" s="21"/>
      <c r="Q104" s="21"/>
      <c r="R104" s="21"/>
      <c r="S104" s="21"/>
    </row>
    <row r="105" spans="4:19" x14ac:dyDescent="0.35">
      <c r="D105" s="11" t="s">
        <v>356</v>
      </c>
      <c r="E105" s="113">
        <v>41800000</v>
      </c>
      <c r="F105" s="42" t="s">
        <v>4</v>
      </c>
      <c r="G105" s="282">
        <v>0</v>
      </c>
      <c r="H105" s="380">
        <f t="shared" si="15"/>
        <v>0</v>
      </c>
      <c r="I105" s="68">
        <f>IF(ISNUMBER(G105*E105),E105*G105,"0")</f>
        <v>0</v>
      </c>
      <c r="J105" s="68">
        <f>IF(AND(NOT($M105),$G105="mix"),$E105,0)</f>
        <v>0</v>
      </c>
      <c r="K105" s="68" t="b">
        <f>AND(M105,G105&gt;0)</f>
        <v>0</v>
      </c>
      <c r="L105" s="68">
        <f>IF(AND(NOT($M105),$G105="inc"),$E105,0)</f>
        <v>0</v>
      </c>
      <c r="M105" s="68" t="b">
        <f>NOT(ISNUMBER($E105))</f>
        <v>0</v>
      </c>
      <c r="N105" s="68">
        <f>IF(AND(NOT(ISNUMBER(G105)),L105+K105+J105+I105=0),E105,0)</f>
        <v>0</v>
      </c>
    </row>
    <row r="106" spans="4:19" x14ac:dyDescent="0.35">
      <c r="D106" s="278" t="s">
        <v>95</v>
      </c>
      <c r="E106" s="291">
        <f>SUM(E107:E109)</f>
        <v>133650000</v>
      </c>
      <c r="F106" s="73"/>
      <c r="G106" s="292"/>
      <c r="H106" s="380">
        <f t="shared" si="15"/>
        <v>0</v>
      </c>
      <c r="I106" s="83">
        <f t="shared" ref="I106:N106" si="23">SUM(I107:I109)</f>
        <v>133650000</v>
      </c>
      <c r="J106" s="83">
        <f t="shared" si="23"/>
        <v>0</v>
      </c>
      <c r="K106" s="83">
        <f t="shared" si="23"/>
        <v>0</v>
      </c>
      <c r="L106" s="83">
        <f t="shared" si="23"/>
        <v>0</v>
      </c>
      <c r="M106" s="83">
        <f t="shared" si="23"/>
        <v>0</v>
      </c>
      <c r="N106" s="83">
        <f t="shared" si="23"/>
        <v>0</v>
      </c>
    </row>
    <row r="107" spans="4:19" x14ac:dyDescent="0.35">
      <c r="D107" s="11" t="s">
        <v>355</v>
      </c>
      <c r="E107" s="113">
        <v>103500000</v>
      </c>
      <c r="F107" s="42" t="s">
        <v>4</v>
      </c>
      <c r="G107" s="282">
        <v>1</v>
      </c>
      <c r="H107" s="380">
        <f t="shared" si="15"/>
        <v>1</v>
      </c>
      <c r="I107" s="96">
        <f>IF(ISNUMBER(G107*E107),E107*G107,"0")</f>
        <v>103500000</v>
      </c>
      <c r="J107" s="96">
        <f>IF(AND(NOT($M107),$G107="mix"),$E107,0)</f>
        <v>0</v>
      </c>
      <c r="K107" s="96" t="b">
        <f>AND(M107,G107&gt;0)</f>
        <v>0</v>
      </c>
      <c r="L107" s="96">
        <f>IF(AND(NOT($M107),$G107="inc"),$E107,0)</f>
        <v>0</v>
      </c>
      <c r="M107" s="96" t="b">
        <f>NOT(ISNUMBER($E107))</f>
        <v>0</v>
      </c>
      <c r="N107" s="96">
        <f>IF(AND(NOT(ISNUMBER(G107)),L107+K107+J107+I107=0),E107,0)</f>
        <v>0</v>
      </c>
    </row>
    <row r="108" spans="4:19" x14ac:dyDescent="0.35">
      <c r="D108" s="11" t="s">
        <v>354</v>
      </c>
      <c r="E108" s="113">
        <v>30000000</v>
      </c>
      <c r="F108" s="42" t="s">
        <v>4</v>
      </c>
      <c r="G108" s="282">
        <v>1</v>
      </c>
      <c r="H108" s="380">
        <f t="shared" si="15"/>
        <v>1</v>
      </c>
      <c r="I108" s="96">
        <f>IF(ISNUMBER(G108*E108),E108*G108,"0")</f>
        <v>30000000</v>
      </c>
      <c r="J108" s="96">
        <f>IF(AND(NOT($M108),$G108="mix"),$E108,0)</f>
        <v>0</v>
      </c>
      <c r="K108" s="96" t="b">
        <f>AND(M108,G108&gt;0)</f>
        <v>0</v>
      </c>
      <c r="L108" s="96">
        <f>IF(AND(NOT($M108),$G108="inc"),$E108,0)</f>
        <v>0</v>
      </c>
      <c r="M108" s="96" t="b">
        <f>NOT(ISNUMBER($E108))</f>
        <v>0</v>
      </c>
      <c r="N108" s="96">
        <f>IF(AND(NOT(ISNUMBER(G108)),L108+K108+J108+I108=0),E108,0)</f>
        <v>0</v>
      </c>
    </row>
    <row r="109" spans="4:19" x14ac:dyDescent="0.35">
      <c r="D109" s="11" t="s">
        <v>353</v>
      </c>
      <c r="E109" s="113">
        <v>150000</v>
      </c>
      <c r="F109" s="42" t="s">
        <v>4</v>
      </c>
      <c r="G109" s="282">
        <v>1</v>
      </c>
      <c r="H109" s="380">
        <f t="shared" si="15"/>
        <v>1</v>
      </c>
      <c r="I109" s="96">
        <f>IF(ISNUMBER(G109*E109),E109*G109,"0")</f>
        <v>150000</v>
      </c>
      <c r="J109" s="96">
        <f>IF(AND(NOT($M109),$G109="mix"),$E109,0)</f>
        <v>0</v>
      </c>
      <c r="K109" s="96" t="b">
        <f>AND(M109,G109&gt;0)</f>
        <v>0</v>
      </c>
      <c r="L109" s="96">
        <f>IF(AND(NOT($M109),$G109="inc"),$E109,0)</f>
        <v>0</v>
      </c>
      <c r="M109" s="96" t="b">
        <f>NOT(ISNUMBER($E109))</f>
        <v>0</v>
      </c>
      <c r="N109" s="96">
        <f>IF(AND(NOT(ISNUMBER(G109)),L109+K109+J109+I109=0),E109,0)</f>
        <v>0</v>
      </c>
    </row>
    <row r="110" spans="4:19" x14ac:dyDescent="0.35">
      <c r="D110" s="278" t="s">
        <v>352</v>
      </c>
      <c r="E110" s="287">
        <f>E111+E119+E142+E176+E198+E204</f>
        <v>6458511866</v>
      </c>
      <c r="F110" s="278"/>
      <c r="G110" s="278"/>
      <c r="H110" s="380">
        <f t="shared" si="15"/>
        <v>0</v>
      </c>
      <c r="I110" s="287">
        <f t="shared" ref="I110:N110" si="24">I111+I119+I142+I176+I198+I204</f>
        <v>151172972.80000001</v>
      </c>
      <c r="J110" s="287">
        <f t="shared" si="24"/>
        <v>4083816246</v>
      </c>
      <c r="K110" s="287">
        <f t="shared" si="24"/>
        <v>0</v>
      </c>
      <c r="L110" s="287">
        <f t="shared" si="24"/>
        <v>48000000</v>
      </c>
      <c r="M110" s="287">
        <f t="shared" si="24"/>
        <v>0</v>
      </c>
      <c r="N110" s="287">
        <f t="shared" si="24"/>
        <v>0</v>
      </c>
    </row>
    <row r="111" spans="4:19" x14ac:dyDescent="0.35">
      <c r="D111" s="278" t="s">
        <v>105</v>
      </c>
      <c r="E111" s="279">
        <f>E112+E113+E114+E115</f>
        <v>338523217</v>
      </c>
      <c r="F111" s="293" t="s">
        <v>4</v>
      </c>
      <c r="G111" s="280"/>
      <c r="H111" s="380">
        <f t="shared" si="15"/>
        <v>0</v>
      </c>
      <c r="I111" s="83">
        <f>SUMIF(I112:I118,"&lt;&gt;&amp;#34;")</f>
        <v>0</v>
      </c>
      <c r="J111" s="83">
        <f>SUM(J112:J118)</f>
        <v>133112235</v>
      </c>
      <c r="K111" s="83">
        <f>SUM(K112:K118)</f>
        <v>0</v>
      </c>
      <c r="L111" s="83">
        <f>SUM(L112:L118)</f>
        <v>0</v>
      </c>
      <c r="M111" s="83">
        <f>SUM(M112:M118)</f>
        <v>0</v>
      </c>
      <c r="N111" s="83">
        <f>SUM(N112:N118)</f>
        <v>0</v>
      </c>
    </row>
    <row r="112" spans="4:19" x14ac:dyDescent="0.35">
      <c r="D112" s="11" t="s">
        <v>351</v>
      </c>
      <c r="E112" s="113">
        <v>130812235</v>
      </c>
      <c r="F112" s="42" t="s">
        <v>4</v>
      </c>
      <c r="G112" s="282" t="s">
        <v>27</v>
      </c>
      <c r="H112" s="380">
        <f t="shared" si="15"/>
        <v>1</v>
      </c>
      <c r="I112" s="68" t="str">
        <f>IF(ISNUMBER(G112*E112),E112*G112,"0")</f>
        <v>0</v>
      </c>
      <c r="J112" s="68">
        <f>IF(AND(NOT($M112),$G112="mix"),$E112,0)</f>
        <v>130812235</v>
      </c>
      <c r="K112" s="68" t="b">
        <f>AND(M112,G112&gt;0)</f>
        <v>0</v>
      </c>
      <c r="L112" s="68">
        <f>IF(AND(NOT($M112),$G112="inc"),$E112,0)</f>
        <v>0</v>
      </c>
      <c r="M112" s="68" t="b">
        <f>NOT(ISNUMBER($E112))</f>
        <v>0</v>
      </c>
      <c r="N112" s="68">
        <f>IF(AND(NOT(ISNUMBER(G112)),L112+K112+J112+I112=0),E112,0)</f>
        <v>0</v>
      </c>
    </row>
    <row r="113" spans="4:14" x14ac:dyDescent="0.35">
      <c r="D113" s="11" t="s">
        <v>350</v>
      </c>
      <c r="E113" s="113">
        <v>110349540</v>
      </c>
      <c r="F113" s="42" t="s">
        <v>4</v>
      </c>
      <c r="G113" s="282">
        <v>0</v>
      </c>
      <c r="H113" s="380">
        <f t="shared" si="15"/>
        <v>0</v>
      </c>
      <c r="I113" s="68">
        <f>IF(ISNUMBER(G113*E113),E113*G113,"0")</f>
        <v>0</v>
      </c>
      <c r="J113" s="68">
        <f>IF(AND(NOT($M113),$G113="mix"),$E113,0)</f>
        <v>0</v>
      </c>
      <c r="K113" s="68" t="b">
        <f>AND(M113,G113&gt;0)</f>
        <v>0</v>
      </c>
      <c r="L113" s="68">
        <f>IF(AND(NOT($M113),$G113="inc"),$E113,0)</f>
        <v>0</v>
      </c>
      <c r="M113" s="68" t="b">
        <f>NOT(ISNUMBER($E113))</f>
        <v>0</v>
      </c>
      <c r="N113" s="68">
        <f>IF(AND(NOT(ISNUMBER(G113)),L113+K113+J113+I113=0),E113,0)</f>
        <v>0</v>
      </c>
    </row>
    <row r="114" spans="4:14" x14ac:dyDescent="0.35">
      <c r="D114" s="11" t="s">
        <v>349</v>
      </c>
      <c r="E114" s="113">
        <v>90061442</v>
      </c>
      <c r="F114" s="42" t="s">
        <v>4</v>
      </c>
      <c r="G114" s="282">
        <v>0</v>
      </c>
      <c r="H114" s="380">
        <f t="shared" si="15"/>
        <v>0</v>
      </c>
      <c r="I114" s="68">
        <f>IF(ISNUMBER(G114*E114),E114*G114,"0")</f>
        <v>0</v>
      </c>
      <c r="J114" s="68">
        <f>IF(AND(NOT($M114),$G114="mix"),$E114,0)</f>
        <v>0</v>
      </c>
      <c r="K114" s="68" t="b">
        <f>AND(M114,G114&gt;0)</f>
        <v>0</v>
      </c>
      <c r="L114" s="68">
        <f>IF(AND(NOT($M114),$G114="inc"),$E114,0)</f>
        <v>0</v>
      </c>
      <c r="M114" s="68" t="b">
        <f>NOT(ISNUMBER($E114))</f>
        <v>0</v>
      </c>
      <c r="N114" s="68">
        <f>IF(AND(NOT(ISNUMBER(G114)),L114+K114+J114+I114=0),E114,0)</f>
        <v>0</v>
      </c>
    </row>
    <row r="115" spans="4:14" x14ac:dyDescent="0.35">
      <c r="D115" s="11" t="s">
        <v>348</v>
      </c>
      <c r="E115" s="113">
        <f>E116+E117+E118</f>
        <v>7300000</v>
      </c>
      <c r="F115" s="42" t="s">
        <v>4</v>
      </c>
      <c r="G115" s="282"/>
      <c r="H115" s="380">
        <f t="shared" si="15"/>
        <v>0</v>
      </c>
      <c r="I115" s="68"/>
      <c r="J115" s="68"/>
      <c r="K115" s="68"/>
      <c r="L115" s="68"/>
      <c r="M115" s="68"/>
      <c r="N115" s="68"/>
    </row>
    <row r="116" spans="4:14" x14ac:dyDescent="0.35">
      <c r="D116" s="42" t="s">
        <v>347</v>
      </c>
      <c r="E116" s="44">
        <v>5000000</v>
      </c>
      <c r="F116" s="42" t="s">
        <v>4</v>
      </c>
      <c r="G116" s="282">
        <v>0</v>
      </c>
      <c r="H116" s="380">
        <f t="shared" si="15"/>
        <v>0</v>
      </c>
      <c r="I116" s="68">
        <f>IF(ISNUMBER(G116*E116),E116*G116,"0")</f>
        <v>0</v>
      </c>
      <c r="J116" s="68">
        <f>IF(AND(NOT($M116),$G116="mix"),$E116,0)</f>
        <v>0</v>
      </c>
      <c r="K116" s="68" t="b">
        <f>AND(M116,G116&gt;0)</f>
        <v>0</v>
      </c>
      <c r="L116" s="68">
        <f>IF(AND(NOT($M116),$G116="inc"),$E116,0)</f>
        <v>0</v>
      </c>
      <c r="M116" s="68" t="b">
        <f>NOT(ISNUMBER($E116))</f>
        <v>0</v>
      </c>
      <c r="N116" s="68">
        <f>IF(AND(NOT(ISNUMBER(G116)),L116+K116+J116+I116=0),E116,0)</f>
        <v>0</v>
      </c>
    </row>
    <row r="117" spans="4:14" x14ac:dyDescent="0.35">
      <c r="D117" s="42" t="s">
        <v>346</v>
      </c>
      <c r="E117" s="44">
        <v>1700000</v>
      </c>
      <c r="F117" s="42" t="s">
        <v>4</v>
      </c>
      <c r="G117" s="282" t="s">
        <v>27</v>
      </c>
      <c r="H117" s="380">
        <f t="shared" si="15"/>
        <v>1</v>
      </c>
      <c r="I117" s="68" t="str">
        <f>IF(ISNUMBER(G117*E117),E117*G117,"0")</f>
        <v>0</v>
      </c>
      <c r="J117" s="68">
        <f>IF(AND(NOT($M117),$G117="mix"),$E117,0)</f>
        <v>1700000</v>
      </c>
      <c r="K117" s="68" t="b">
        <f>AND(M117,G117&gt;0)</f>
        <v>0</v>
      </c>
      <c r="L117" s="68">
        <f>IF(AND(NOT($M117),$G117="inc"),$E117,0)</f>
        <v>0</v>
      </c>
      <c r="M117" s="68" t="b">
        <f>NOT(ISNUMBER($E117))</f>
        <v>0</v>
      </c>
      <c r="N117" s="68">
        <f>IF(AND(NOT(ISNUMBER(G117)),L117+K117+J117+I117=0),E117,0)</f>
        <v>0</v>
      </c>
    </row>
    <row r="118" spans="4:14" x14ac:dyDescent="0.35">
      <c r="D118" s="42" t="s">
        <v>345</v>
      </c>
      <c r="E118" s="44">
        <v>600000</v>
      </c>
      <c r="F118" s="42" t="s">
        <v>4</v>
      </c>
      <c r="G118" s="282" t="s">
        <v>27</v>
      </c>
      <c r="H118" s="380">
        <f t="shared" si="15"/>
        <v>1</v>
      </c>
      <c r="I118" s="68" t="str">
        <f>IF(ISNUMBER(G118*E118),E118*G118,"0")</f>
        <v>0</v>
      </c>
      <c r="J118" s="68">
        <f>IF(AND(NOT($M118),$G118="mix"),$E118,0)</f>
        <v>600000</v>
      </c>
      <c r="K118" s="68" t="b">
        <f>AND(M118,G118&gt;0)</f>
        <v>0</v>
      </c>
      <c r="L118" s="68">
        <f>IF(AND(NOT($M118),$G118="inc"),$E118,0)</f>
        <v>0</v>
      </c>
      <c r="M118" s="68" t="b">
        <f>NOT(ISNUMBER($E118))</f>
        <v>0</v>
      </c>
      <c r="N118" s="68">
        <f>IF(AND(NOT(ISNUMBER(G118)),L118+K118+J118+I118=0),E118,0)</f>
        <v>0</v>
      </c>
    </row>
    <row r="119" spans="4:14" x14ac:dyDescent="0.35">
      <c r="D119" s="278" t="s">
        <v>101</v>
      </c>
      <c r="E119" s="279">
        <f>E120+SUM(E129:E133)+E141</f>
        <v>4015316970</v>
      </c>
      <c r="F119" s="73" t="s">
        <v>4</v>
      </c>
      <c r="G119" s="280"/>
      <c r="H119" s="380">
        <f t="shared" si="15"/>
        <v>0</v>
      </c>
      <c r="I119" s="279">
        <f>I120+SUM(I129:I133)+I141</f>
        <v>57900000</v>
      </c>
      <c r="J119" s="279">
        <f>J120+SUM(J129:J133)+J141</f>
        <v>3429866970</v>
      </c>
      <c r="K119" s="83">
        <f>SUMIF(K120:K141,"&lt;&gt;&amp;#34;")</f>
        <v>0</v>
      </c>
      <c r="L119" s="83">
        <f>SUMIF(L120:L141,"&lt;&gt;&amp;#34;")</f>
        <v>0</v>
      </c>
      <c r="M119" s="83">
        <f>SUMIF(M120:M141,"&lt;&gt;&amp;#34;")</f>
        <v>0</v>
      </c>
      <c r="N119" s="83">
        <f>SUMIF(N120:N141,"&lt;&gt;&amp;#34;")</f>
        <v>0</v>
      </c>
    </row>
    <row r="120" spans="4:14" x14ac:dyDescent="0.35">
      <c r="D120" s="11" t="s">
        <v>344</v>
      </c>
      <c r="E120" s="113">
        <f>SUM(E121:E127)</f>
        <v>1797150000</v>
      </c>
      <c r="F120" s="42" t="s">
        <v>4</v>
      </c>
      <c r="G120" s="43"/>
      <c r="H120" s="380">
        <f t="shared" si="15"/>
        <v>0</v>
      </c>
      <c r="I120" s="68">
        <f>SUM(I121:I128)</f>
        <v>0</v>
      </c>
      <c r="J120" s="68">
        <f>SUM(J121:J128)</f>
        <v>1465100000</v>
      </c>
      <c r="K120" s="68"/>
      <c r="L120" s="68"/>
      <c r="M120" s="68"/>
      <c r="N120" s="68"/>
    </row>
    <row r="121" spans="4:14" x14ac:dyDescent="0.35">
      <c r="D121" s="42" t="s">
        <v>343</v>
      </c>
      <c r="E121" s="44">
        <v>915700000</v>
      </c>
      <c r="F121" s="42" t="s">
        <v>4</v>
      </c>
      <c r="G121" s="282" t="s">
        <v>27</v>
      </c>
      <c r="H121" s="380">
        <f t="shared" si="15"/>
        <v>1</v>
      </c>
      <c r="I121" s="68" t="str">
        <f t="shared" ref="I121:I132" si="25">IF(ISNUMBER(G121*E121),E121*G121,"0")</f>
        <v>0</v>
      </c>
      <c r="J121" s="68">
        <f t="shared" ref="J121:J132" si="26">IF(AND(NOT($M121),$G121="mix"),$E121,0)</f>
        <v>915700000</v>
      </c>
      <c r="K121" s="68" t="b">
        <f t="shared" ref="K121:K132" si="27">AND(M121,G121&gt;0)</f>
        <v>0</v>
      </c>
      <c r="L121" s="68">
        <f t="shared" ref="L121:L132" si="28">IF(AND(NOT($M121),$G121="inc"),$E121,0)</f>
        <v>0</v>
      </c>
      <c r="M121" s="68" t="b">
        <f t="shared" ref="M121:M132" si="29">NOT(ISNUMBER($E121))</f>
        <v>0</v>
      </c>
      <c r="N121" s="68">
        <f t="shared" ref="N121:N132" si="30">IF(AND(NOT(ISNUMBER(G121)),L121+K121+J121+I121=0),E121,0)</f>
        <v>0</v>
      </c>
    </row>
    <row r="122" spans="4:14" x14ac:dyDescent="0.35">
      <c r="D122" s="42" t="s">
        <v>342</v>
      </c>
      <c r="E122" s="44">
        <v>127800000</v>
      </c>
      <c r="F122" s="42" t="s">
        <v>4</v>
      </c>
      <c r="G122" s="282">
        <v>0</v>
      </c>
      <c r="H122" s="380">
        <f t="shared" si="15"/>
        <v>0</v>
      </c>
      <c r="I122" s="68">
        <f t="shared" si="25"/>
        <v>0</v>
      </c>
      <c r="J122" s="68">
        <f t="shared" si="26"/>
        <v>0</v>
      </c>
      <c r="K122" s="68" t="b">
        <f t="shared" si="27"/>
        <v>0</v>
      </c>
      <c r="L122" s="68">
        <f t="shared" si="28"/>
        <v>0</v>
      </c>
      <c r="M122" s="68" t="b">
        <f t="shared" si="29"/>
        <v>0</v>
      </c>
      <c r="N122" s="68">
        <f t="shared" si="30"/>
        <v>0</v>
      </c>
    </row>
    <row r="123" spans="4:14" x14ac:dyDescent="0.35">
      <c r="D123" s="42" t="s">
        <v>341</v>
      </c>
      <c r="E123" s="44">
        <v>549400000</v>
      </c>
      <c r="F123" s="42" t="s">
        <v>4</v>
      </c>
      <c r="G123" s="282" t="s">
        <v>27</v>
      </c>
      <c r="H123" s="380">
        <f t="shared" si="15"/>
        <v>1</v>
      </c>
      <c r="I123" s="68" t="str">
        <f t="shared" si="25"/>
        <v>0</v>
      </c>
      <c r="J123" s="68">
        <f t="shared" si="26"/>
        <v>549400000</v>
      </c>
      <c r="K123" s="68" t="b">
        <f t="shared" si="27"/>
        <v>0</v>
      </c>
      <c r="L123" s="68">
        <f t="shared" si="28"/>
        <v>0</v>
      </c>
      <c r="M123" s="68" t="b">
        <f t="shared" si="29"/>
        <v>0</v>
      </c>
      <c r="N123" s="68">
        <f t="shared" si="30"/>
        <v>0</v>
      </c>
    </row>
    <row r="124" spans="4:14" x14ac:dyDescent="0.35">
      <c r="D124" s="42" t="s">
        <v>340</v>
      </c>
      <c r="E124" s="44">
        <v>100000000</v>
      </c>
      <c r="F124" s="42" t="s">
        <v>4</v>
      </c>
      <c r="G124" s="282">
        <v>0</v>
      </c>
      <c r="H124" s="380">
        <f t="shared" si="15"/>
        <v>0</v>
      </c>
      <c r="I124" s="68">
        <f t="shared" si="25"/>
        <v>0</v>
      </c>
      <c r="J124" s="68">
        <f t="shared" si="26"/>
        <v>0</v>
      </c>
      <c r="K124" s="68" t="b">
        <f t="shared" si="27"/>
        <v>0</v>
      </c>
      <c r="L124" s="68">
        <f t="shared" si="28"/>
        <v>0</v>
      </c>
      <c r="M124" s="68" t="b">
        <f t="shared" si="29"/>
        <v>0</v>
      </c>
      <c r="N124" s="68">
        <f t="shared" si="30"/>
        <v>0</v>
      </c>
    </row>
    <row r="125" spans="4:14" x14ac:dyDescent="0.35">
      <c r="D125" s="42" t="s">
        <v>339</v>
      </c>
      <c r="E125" s="44">
        <v>250000</v>
      </c>
      <c r="F125" s="42" t="s">
        <v>4</v>
      </c>
      <c r="G125" s="282">
        <v>0</v>
      </c>
      <c r="H125" s="380">
        <f t="shared" si="15"/>
        <v>0</v>
      </c>
      <c r="I125" s="68">
        <f t="shared" si="25"/>
        <v>0</v>
      </c>
      <c r="J125" s="68">
        <f t="shared" si="26"/>
        <v>0</v>
      </c>
      <c r="K125" s="68" t="b">
        <f t="shared" si="27"/>
        <v>0</v>
      </c>
      <c r="L125" s="68">
        <f t="shared" si="28"/>
        <v>0</v>
      </c>
      <c r="M125" s="68" t="b">
        <f t="shared" si="29"/>
        <v>0</v>
      </c>
      <c r="N125" s="68">
        <f t="shared" si="30"/>
        <v>0</v>
      </c>
    </row>
    <row r="126" spans="4:14" x14ac:dyDescent="0.35">
      <c r="D126" s="42" t="s">
        <v>338</v>
      </c>
      <c r="E126" s="44">
        <v>4000000</v>
      </c>
      <c r="F126" s="42" t="s">
        <v>4</v>
      </c>
      <c r="G126" s="282">
        <v>0</v>
      </c>
      <c r="H126" s="380">
        <f t="shared" si="15"/>
        <v>0</v>
      </c>
      <c r="I126" s="68">
        <f t="shared" si="25"/>
        <v>0</v>
      </c>
      <c r="J126" s="68">
        <f t="shared" si="26"/>
        <v>0</v>
      </c>
      <c r="K126" s="68" t="b">
        <f t="shared" si="27"/>
        <v>0</v>
      </c>
      <c r="L126" s="68">
        <f t="shared" si="28"/>
        <v>0</v>
      </c>
      <c r="M126" s="68" t="b">
        <f t="shared" si="29"/>
        <v>0</v>
      </c>
      <c r="N126" s="68">
        <f t="shared" si="30"/>
        <v>0</v>
      </c>
    </row>
    <row r="127" spans="4:14" x14ac:dyDescent="0.35">
      <c r="D127" s="42" t="s">
        <v>337</v>
      </c>
      <c r="E127" s="44">
        <v>100000000</v>
      </c>
      <c r="F127" s="42" t="s">
        <v>4</v>
      </c>
      <c r="G127" s="282">
        <v>0</v>
      </c>
      <c r="H127" s="380">
        <f t="shared" si="15"/>
        <v>0</v>
      </c>
      <c r="I127" s="68">
        <f t="shared" si="25"/>
        <v>0</v>
      </c>
      <c r="J127" s="68">
        <f t="shared" si="26"/>
        <v>0</v>
      </c>
      <c r="K127" s="68" t="b">
        <f t="shared" si="27"/>
        <v>0</v>
      </c>
      <c r="L127" s="68">
        <f t="shared" si="28"/>
        <v>0</v>
      </c>
      <c r="M127" s="68" t="b">
        <f t="shared" si="29"/>
        <v>0</v>
      </c>
      <c r="N127" s="68">
        <f t="shared" si="30"/>
        <v>0</v>
      </c>
    </row>
    <row r="128" spans="4:14" x14ac:dyDescent="0.35">
      <c r="D128" s="42" t="s">
        <v>336</v>
      </c>
      <c r="E128" s="44">
        <v>32700000</v>
      </c>
      <c r="F128" s="42" t="s">
        <v>4</v>
      </c>
      <c r="G128" s="282">
        <v>0</v>
      </c>
      <c r="H128" s="380">
        <f t="shared" si="15"/>
        <v>0</v>
      </c>
      <c r="I128" s="68">
        <f t="shared" si="25"/>
        <v>0</v>
      </c>
      <c r="J128" s="68">
        <f t="shared" si="26"/>
        <v>0</v>
      </c>
      <c r="K128" s="68" t="b">
        <f t="shared" si="27"/>
        <v>0</v>
      </c>
      <c r="L128" s="68">
        <f t="shared" si="28"/>
        <v>0</v>
      </c>
      <c r="M128" s="68" t="b">
        <f t="shared" si="29"/>
        <v>0</v>
      </c>
      <c r="N128" s="68">
        <f t="shared" si="30"/>
        <v>0</v>
      </c>
    </row>
    <row r="129" spans="4:14" x14ac:dyDescent="0.35">
      <c r="D129" s="11" t="s">
        <v>335</v>
      </c>
      <c r="E129" s="113">
        <v>123266469</v>
      </c>
      <c r="F129" s="42" t="s">
        <v>4</v>
      </c>
      <c r="G129" s="282" t="s">
        <v>27</v>
      </c>
      <c r="H129" s="380">
        <f t="shared" si="15"/>
        <v>1</v>
      </c>
      <c r="I129" s="68" t="str">
        <f t="shared" si="25"/>
        <v>0</v>
      </c>
      <c r="J129" s="68">
        <f t="shared" si="26"/>
        <v>123266469</v>
      </c>
      <c r="K129" s="68" t="b">
        <f t="shared" si="27"/>
        <v>0</v>
      </c>
      <c r="L129" s="68">
        <f t="shared" si="28"/>
        <v>0</v>
      </c>
      <c r="M129" s="68" t="b">
        <f t="shared" si="29"/>
        <v>0</v>
      </c>
      <c r="N129" s="68">
        <f t="shared" si="30"/>
        <v>0</v>
      </c>
    </row>
    <row r="130" spans="4:14" x14ac:dyDescent="0.35">
      <c r="D130" s="11" t="s">
        <v>334</v>
      </c>
      <c r="E130" s="113">
        <v>154871382</v>
      </c>
      <c r="F130" s="42" t="s">
        <v>4</v>
      </c>
      <c r="G130" s="282" t="s">
        <v>27</v>
      </c>
      <c r="H130" s="380">
        <f t="shared" si="15"/>
        <v>1</v>
      </c>
      <c r="I130" s="68" t="str">
        <f t="shared" si="25"/>
        <v>0</v>
      </c>
      <c r="J130" s="68">
        <f t="shared" si="26"/>
        <v>154871382</v>
      </c>
      <c r="K130" s="68" t="b">
        <f t="shared" si="27"/>
        <v>0</v>
      </c>
      <c r="L130" s="68">
        <f t="shared" si="28"/>
        <v>0</v>
      </c>
      <c r="M130" s="68" t="b">
        <f t="shared" si="29"/>
        <v>0</v>
      </c>
      <c r="N130" s="68">
        <f t="shared" si="30"/>
        <v>0</v>
      </c>
    </row>
    <row r="131" spans="4:14" x14ac:dyDescent="0.35">
      <c r="D131" s="11" t="s">
        <v>333</v>
      </c>
      <c r="E131" s="113">
        <v>265505149</v>
      </c>
      <c r="F131" s="42" t="s">
        <v>4</v>
      </c>
      <c r="G131" s="282" t="s">
        <v>27</v>
      </c>
      <c r="H131" s="380">
        <f t="shared" si="15"/>
        <v>1</v>
      </c>
      <c r="I131" s="68" t="str">
        <f t="shared" si="25"/>
        <v>0</v>
      </c>
      <c r="J131" s="68">
        <f t="shared" si="26"/>
        <v>265505149</v>
      </c>
      <c r="K131" s="68" t="b">
        <f t="shared" si="27"/>
        <v>0</v>
      </c>
      <c r="L131" s="68">
        <f t="shared" si="28"/>
        <v>0</v>
      </c>
      <c r="M131" s="68" t="b">
        <f t="shared" si="29"/>
        <v>0</v>
      </c>
      <c r="N131" s="68">
        <f t="shared" si="30"/>
        <v>0</v>
      </c>
    </row>
    <row r="132" spans="4:14" x14ac:dyDescent="0.35">
      <c r="D132" s="11" t="s">
        <v>332</v>
      </c>
      <c r="E132" s="113">
        <v>1298030418</v>
      </c>
      <c r="F132" s="42" t="s">
        <v>4</v>
      </c>
      <c r="G132" s="282" t="s">
        <v>27</v>
      </c>
      <c r="H132" s="380">
        <f t="shared" si="15"/>
        <v>1</v>
      </c>
      <c r="I132" s="68" t="str">
        <f t="shared" si="25"/>
        <v>0</v>
      </c>
      <c r="J132" s="68">
        <f t="shared" si="26"/>
        <v>1298030418</v>
      </c>
      <c r="K132" s="68" t="b">
        <f t="shared" si="27"/>
        <v>0</v>
      </c>
      <c r="L132" s="68">
        <f t="shared" si="28"/>
        <v>0</v>
      </c>
      <c r="M132" s="68" t="b">
        <f t="shared" si="29"/>
        <v>0</v>
      </c>
      <c r="N132" s="68">
        <f t="shared" si="30"/>
        <v>0</v>
      </c>
    </row>
    <row r="133" spans="4:14" x14ac:dyDescent="0.35">
      <c r="D133" s="11" t="s">
        <v>331</v>
      </c>
      <c r="E133" s="113">
        <f>SUM(E134:E140)</f>
        <v>265600000</v>
      </c>
      <c r="F133" s="42" t="s">
        <v>4</v>
      </c>
      <c r="G133" s="282"/>
      <c r="H133" s="380">
        <f t="shared" si="15"/>
        <v>0</v>
      </c>
      <c r="I133" s="68">
        <f>SUM(I134:I140)</f>
        <v>57900000</v>
      </c>
      <c r="J133" s="68">
        <f>SUM(J134:J140)</f>
        <v>12200000</v>
      </c>
      <c r="K133" s="68"/>
      <c r="L133" s="68"/>
      <c r="M133" s="68"/>
      <c r="N133" s="68"/>
    </row>
    <row r="134" spans="4:14" x14ac:dyDescent="0.35">
      <c r="D134" s="42" t="s">
        <v>330</v>
      </c>
      <c r="E134" s="44">
        <v>87900000</v>
      </c>
      <c r="F134" s="42" t="s">
        <v>4</v>
      </c>
      <c r="G134" s="282">
        <v>0</v>
      </c>
      <c r="H134" s="380">
        <f t="shared" si="15"/>
        <v>0</v>
      </c>
      <c r="I134" s="68">
        <f t="shared" ref="I134:I141" si="31">IF(ISNUMBER(G134*E134),E134*G134,"0")</f>
        <v>0</v>
      </c>
      <c r="J134" s="68">
        <f t="shared" ref="J134:J141" si="32">IF(AND(NOT($M134),$G134="mix"),$E134,0)</f>
        <v>0</v>
      </c>
      <c r="K134" s="68" t="b">
        <f t="shared" ref="K134:K141" si="33">AND(M134,G134&gt;0)</f>
        <v>0</v>
      </c>
      <c r="L134" s="68">
        <f t="shared" ref="L134:L141" si="34">IF(AND(NOT($M134),$G134="inc"),$E134,0)</f>
        <v>0</v>
      </c>
      <c r="M134" s="68" t="b">
        <f t="shared" ref="M134:M141" si="35">NOT(ISNUMBER($E134))</f>
        <v>0</v>
      </c>
      <c r="N134" s="68">
        <f t="shared" ref="N134:N141" si="36">IF(AND(NOT(ISNUMBER(G134)),L134+K134+J134+I134=0),E134,0)</f>
        <v>0</v>
      </c>
    </row>
    <row r="135" spans="4:14" x14ac:dyDescent="0.35">
      <c r="D135" s="42" t="s">
        <v>329</v>
      </c>
      <c r="E135" s="44">
        <v>53500000</v>
      </c>
      <c r="F135" s="42" t="s">
        <v>4</v>
      </c>
      <c r="G135" s="282">
        <v>1</v>
      </c>
      <c r="H135" s="380">
        <f t="shared" si="15"/>
        <v>1</v>
      </c>
      <c r="I135" s="68">
        <f t="shared" si="31"/>
        <v>53500000</v>
      </c>
      <c r="J135" s="68">
        <f t="shared" si="32"/>
        <v>0</v>
      </c>
      <c r="K135" s="68" t="b">
        <f t="shared" si="33"/>
        <v>0</v>
      </c>
      <c r="L135" s="68">
        <f t="shared" si="34"/>
        <v>0</v>
      </c>
      <c r="M135" s="68" t="b">
        <f t="shared" si="35"/>
        <v>0</v>
      </c>
      <c r="N135" s="68">
        <f t="shared" si="36"/>
        <v>0</v>
      </c>
    </row>
    <row r="136" spans="4:14" x14ac:dyDescent="0.35">
      <c r="D136" s="42" t="s">
        <v>328</v>
      </c>
      <c r="E136" s="44">
        <v>4400000</v>
      </c>
      <c r="F136" s="42" t="s">
        <v>4</v>
      </c>
      <c r="G136" s="282">
        <v>1</v>
      </c>
      <c r="H136" s="380">
        <f t="shared" si="15"/>
        <v>1</v>
      </c>
      <c r="I136" s="68">
        <f t="shared" si="31"/>
        <v>4400000</v>
      </c>
      <c r="J136" s="68">
        <f t="shared" si="32"/>
        <v>0</v>
      </c>
      <c r="K136" s="68" t="b">
        <f t="shared" si="33"/>
        <v>0</v>
      </c>
      <c r="L136" s="68">
        <f t="shared" si="34"/>
        <v>0</v>
      </c>
      <c r="M136" s="68" t="b">
        <f t="shared" si="35"/>
        <v>0</v>
      </c>
      <c r="N136" s="68">
        <f t="shared" si="36"/>
        <v>0</v>
      </c>
    </row>
    <row r="137" spans="4:14" x14ac:dyDescent="0.35">
      <c r="D137" s="42" t="s">
        <v>327</v>
      </c>
      <c r="E137" s="44">
        <v>88400000</v>
      </c>
      <c r="F137" s="42" t="s">
        <v>4</v>
      </c>
      <c r="G137" s="282">
        <v>0</v>
      </c>
      <c r="H137" s="380">
        <f t="shared" ref="H137:H200" si="37">+IF(G137&lt;&gt;0, 1,0)</f>
        <v>0</v>
      </c>
      <c r="I137" s="68">
        <f t="shared" si="31"/>
        <v>0</v>
      </c>
      <c r="J137" s="68">
        <f t="shared" si="32"/>
        <v>0</v>
      </c>
      <c r="K137" s="68" t="b">
        <f t="shared" si="33"/>
        <v>0</v>
      </c>
      <c r="L137" s="68">
        <f t="shared" si="34"/>
        <v>0</v>
      </c>
      <c r="M137" s="68" t="b">
        <f t="shared" si="35"/>
        <v>0</v>
      </c>
      <c r="N137" s="68">
        <f t="shared" si="36"/>
        <v>0</v>
      </c>
    </row>
    <row r="138" spans="4:14" x14ac:dyDescent="0.35">
      <c r="D138" s="42" t="s">
        <v>326</v>
      </c>
      <c r="E138" s="44">
        <v>2900000</v>
      </c>
      <c r="F138" s="42" t="s">
        <v>4</v>
      </c>
      <c r="G138" s="282" t="s">
        <v>27</v>
      </c>
      <c r="H138" s="380">
        <f t="shared" si="37"/>
        <v>1</v>
      </c>
      <c r="I138" s="68" t="str">
        <f t="shared" si="31"/>
        <v>0</v>
      </c>
      <c r="J138" s="68">
        <f t="shared" si="32"/>
        <v>2900000</v>
      </c>
      <c r="K138" s="68" t="b">
        <f t="shared" si="33"/>
        <v>0</v>
      </c>
      <c r="L138" s="68">
        <f t="shared" si="34"/>
        <v>0</v>
      </c>
      <c r="M138" s="68" t="b">
        <f t="shared" si="35"/>
        <v>0</v>
      </c>
      <c r="N138" s="68">
        <f t="shared" si="36"/>
        <v>0</v>
      </c>
    </row>
    <row r="139" spans="4:14" ht="31.5" x14ac:dyDescent="0.35">
      <c r="D139" s="42" t="s">
        <v>325</v>
      </c>
      <c r="E139" s="44">
        <v>19200000</v>
      </c>
      <c r="F139" s="42" t="s">
        <v>4</v>
      </c>
      <c r="G139" s="282">
        <v>0</v>
      </c>
      <c r="H139" s="380">
        <f t="shared" si="37"/>
        <v>0</v>
      </c>
      <c r="I139" s="68">
        <f t="shared" si="31"/>
        <v>0</v>
      </c>
      <c r="J139" s="68">
        <f t="shared" si="32"/>
        <v>0</v>
      </c>
      <c r="K139" s="68" t="b">
        <f t="shared" si="33"/>
        <v>0</v>
      </c>
      <c r="L139" s="68">
        <f t="shared" si="34"/>
        <v>0</v>
      </c>
      <c r="M139" s="68" t="b">
        <f t="shared" si="35"/>
        <v>0</v>
      </c>
      <c r="N139" s="68">
        <f t="shared" si="36"/>
        <v>0</v>
      </c>
    </row>
    <row r="140" spans="4:14" ht="31.5" x14ac:dyDescent="0.35">
      <c r="D140" s="42" t="s">
        <v>324</v>
      </c>
      <c r="E140" s="44">
        <v>9300000</v>
      </c>
      <c r="F140" s="42" t="s">
        <v>4</v>
      </c>
      <c r="G140" s="282" t="s">
        <v>27</v>
      </c>
      <c r="H140" s="380">
        <f t="shared" si="37"/>
        <v>1</v>
      </c>
      <c r="I140" s="68" t="str">
        <f t="shared" si="31"/>
        <v>0</v>
      </c>
      <c r="J140" s="68">
        <f t="shared" si="32"/>
        <v>9300000</v>
      </c>
      <c r="K140" s="68" t="b">
        <f t="shared" si="33"/>
        <v>0</v>
      </c>
      <c r="L140" s="68">
        <f t="shared" si="34"/>
        <v>0</v>
      </c>
      <c r="M140" s="68" t="b">
        <f t="shared" si="35"/>
        <v>0</v>
      </c>
      <c r="N140" s="68">
        <f t="shared" si="36"/>
        <v>0</v>
      </c>
    </row>
    <row r="141" spans="4:14" x14ac:dyDescent="0.35">
      <c r="D141" s="11" t="s">
        <v>323</v>
      </c>
      <c r="E141" s="113">
        <v>110893552</v>
      </c>
      <c r="F141" s="42" t="s">
        <v>4</v>
      </c>
      <c r="G141" s="282" t="s">
        <v>27</v>
      </c>
      <c r="H141" s="380">
        <f t="shared" si="37"/>
        <v>1</v>
      </c>
      <c r="I141" s="68" t="str">
        <f t="shared" si="31"/>
        <v>0</v>
      </c>
      <c r="J141" s="68">
        <f t="shared" si="32"/>
        <v>110893552</v>
      </c>
      <c r="K141" s="68" t="b">
        <f t="shared" si="33"/>
        <v>0</v>
      </c>
      <c r="L141" s="68">
        <f t="shared" si="34"/>
        <v>0</v>
      </c>
      <c r="M141" s="68" t="b">
        <f t="shared" si="35"/>
        <v>0</v>
      </c>
      <c r="N141" s="68">
        <f t="shared" si="36"/>
        <v>0</v>
      </c>
    </row>
    <row r="142" spans="4:14" x14ac:dyDescent="0.35">
      <c r="D142" s="278" t="s">
        <v>100</v>
      </c>
      <c r="E142" s="279">
        <f>E143+E144+E157+E162+E173+E175+E174</f>
        <v>770620123</v>
      </c>
      <c r="F142" s="73" t="s">
        <v>4</v>
      </c>
      <c r="G142" s="280"/>
      <c r="H142" s="380">
        <f t="shared" si="37"/>
        <v>0</v>
      </c>
      <c r="I142" s="83">
        <f t="shared" ref="I142:N142" si="38">SUMIF(I143:I175,"&lt;&gt;&amp;#34;")</f>
        <v>93272972.799999997</v>
      </c>
      <c r="J142" s="83">
        <f t="shared" si="38"/>
        <v>375404356</v>
      </c>
      <c r="K142" s="83">
        <f t="shared" si="38"/>
        <v>0</v>
      </c>
      <c r="L142" s="83">
        <f t="shared" si="38"/>
        <v>0</v>
      </c>
      <c r="M142" s="83">
        <f t="shared" si="38"/>
        <v>0</v>
      </c>
      <c r="N142" s="83">
        <f t="shared" si="38"/>
        <v>0</v>
      </c>
    </row>
    <row r="143" spans="4:14" x14ac:dyDescent="0.35">
      <c r="D143" s="11" t="s">
        <v>322</v>
      </c>
      <c r="E143" s="113">
        <v>193829728</v>
      </c>
      <c r="F143" s="42" t="s">
        <v>4</v>
      </c>
      <c r="G143" s="288">
        <v>0.1</v>
      </c>
      <c r="H143" s="380">
        <f t="shared" si="37"/>
        <v>1</v>
      </c>
      <c r="I143" s="68">
        <f>IF(ISNUMBER(G143*E143),E143*G143,"0")</f>
        <v>19382972.800000001</v>
      </c>
      <c r="J143" s="68">
        <f>IF(AND(NOT($M143),$G143="mix"),$E143,0)</f>
        <v>0</v>
      </c>
      <c r="K143" s="68" t="b">
        <f>AND(M143,G143&gt;0)</f>
        <v>0</v>
      </c>
      <c r="L143" s="68">
        <f>IF(AND(NOT($M143),$G143="inc"),$E143,0)</f>
        <v>0</v>
      </c>
      <c r="M143" s="68" t="b">
        <f>NOT(ISNUMBER($E143))</f>
        <v>0</v>
      </c>
      <c r="N143" s="68">
        <f>IF(AND(NOT(ISNUMBER(G143)),L143+K143+J143+I143=0),E143,0)</f>
        <v>0</v>
      </c>
    </row>
    <row r="144" spans="4:14" x14ac:dyDescent="0.35">
      <c r="D144" s="11" t="s">
        <v>321</v>
      </c>
      <c r="E144" s="113">
        <f>SUM(E145:E152)+SUM(E155:E156)</f>
        <v>154180000</v>
      </c>
      <c r="F144" s="42" t="s">
        <v>4</v>
      </c>
      <c r="G144" s="288"/>
      <c r="H144" s="380">
        <f t="shared" si="37"/>
        <v>0</v>
      </c>
      <c r="I144" s="68"/>
      <c r="J144" s="68"/>
      <c r="K144" s="68"/>
      <c r="L144" s="68"/>
      <c r="M144" s="68"/>
      <c r="N144" s="68"/>
    </row>
    <row r="145" spans="4:14" x14ac:dyDescent="0.35">
      <c r="D145" s="42" t="s">
        <v>320</v>
      </c>
      <c r="E145" s="44">
        <v>132000000</v>
      </c>
      <c r="F145" s="42" t="s">
        <v>4</v>
      </c>
      <c r="G145" s="288" t="s">
        <v>27</v>
      </c>
      <c r="H145" s="380">
        <f t="shared" si="37"/>
        <v>1</v>
      </c>
      <c r="I145" s="68" t="str">
        <f t="shared" ref="I145:I151" si="39">IF(ISNUMBER(G145*E145),E145*G145,"0")</f>
        <v>0</v>
      </c>
      <c r="J145" s="68">
        <f t="shared" ref="J145:J151" si="40">IF(AND(NOT($M145),$G145="mix"),$E145,0)</f>
        <v>132000000</v>
      </c>
      <c r="K145" s="68" t="b">
        <f t="shared" ref="K145:K151" si="41">AND(M145,G145&gt;0)</f>
        <v>0</v>
      </c>
      <c r="L145" s="68">
        <f t="shared" ref="L145:L151" si="42">IF(AND(NOT($M145),$G145="inc"),$E145,0)</f>
        <v>0</v>
      </c>
      <c r="M145" s="68" t="b">
        <f t="shared" ref="M145:M151" si="43">NOT(ISNUMBER($E145))</f>
        <v>0</v>
      </c>
      <c r="N145" s="68">
        <f t="shared" ref="N145:N151" si="44">IF(AND(NOT(ISNUMBER(G145)),L145+K145+J145+I145=0),E145,0)</f>
        <v>0</v>
      </c>
    </row>
    <row r="146" spans="4:14" x14ac:dyDescent="0.35">
      <c r="D146" s="42" t="s">
        <v>319</v>
      </c>
      <c r="E146" s="44">
        <v>70000</v>
      </c>
      <c r="F146" s="42" t="s">
        <v>4</v>
      </c>
      <c r="G146" s="288">
        <v>0</v>
      </c>
      <c r="H146" s="380">
        <f t="shared" si="37"/>
        <v>0</v>
      </c>
      <c r="I146" s="68">
        <f t="shared" si="39"/>
        <v>0</v>
      </c>
      <c r="J146" s="68">
        <f t="shared" si="40"/>
        <v>0</v>
      </c>
      <c r="K146" s="68" t="b">
        <f t="shared" si="41"/>
        <v>0</v>
      </c>
      <c r="L146" s="68">
        <f t="shared" si="42"/>
        <v>0</v>
      </c>
      <c r="M146" s="68" t="b">
        <f t="shared" si="43"/>
        <v>0</v>
      </c>
      <c r="N146" s="68">
        <f t="shared" si="44"/>
        <v>0</v>
      </c>
    </row>
    <row r="147" spans="4:14" x14ac:dyDescent="0.35">
      <c r="D147" s="42" t="s">
        <v>318</v>
      </c>
      <c r="E147" s="44">
        <v>1280000</v>
      </c>
      <c r="F147" s="42" t="s">
        <v>4</v>
      </c>
      <c r="G147" s="288">
        <v>0</v>
      </c>
      <c r="H147" s="380">
        <f t="shared" si="37"/>
        <v>0</v>
      </c>
      <c r="I147" s="68">
        <f t="shared" si="39"/>
        <v>0</v>
      </c>
      <c r="J147" s="68">
        <f t="shared" si="40"/>
        <v>0</v>
      </c>
      <c r="K147" s="68" t="b">
        <f t="shared" si="41"/>
        <v>0</v>
      </c>
      <c r="L147" s="68">
        <f t="shared" si="42"/>
        <v>0</v>
      </c>
      <c r="M147" s="68" t="b">
        <f t="shared" si="43"/>
        <v>0</v>
      </c>
      <c r="N147" s="68">
        <f t="shared" si="44"/>
        <v>0</v>
      </c>
    </row>
    <row r="148" spans="4:14" x14ac:dyDescent="0.35">
      <c r="D148" s="42" t="s">
        <v>317</v>
      </c>
      <c r="E148" s="44">
        <v>1980000</v>
      </c>
      <c r="F148" s="42" t="s">
        <v>4</v>
      </c>
      <c r="G148" s="288" t="s">
        <v>27</v>
      </c>
      <c r="H148" s="380">
        <f t="shared" si="37"/>
        <v>1</v>
      </c>
      <c r="I148" s="68" t="str">
        <f t="shared" si="39"/>
        <v>0</v>
      </c>
      <c r="J148" s="68">
        <f t="shared" si="40"/>
        <v>1980000</v>
      </c>
      <c r="K148" s="68" t="b">
        <f t="shared" si="41"/>
        <v>0</v>
      </c>
      <c r="L148" s="68">
        <f t="shared" si="42"/>
        <v>0</v>
      </c>
      <c r="M148" s="68" t="b">
        <f t="shared" si="43"/>
        <v>0</v>
      </c>
      <c r="N148" s="68">
        <f t="shared" si="44"/>
        <v>0</v>
      </c>
    </row>
    <row r="149" spans="4:14" x14ac:dyDescent="0.35">
      <c r="D149" s="42" t="s">
        <v>316</v>
      </c>
      <c r="E149" s="44">
        <v>400000</v>
      </c>
      <c r="F149" s="42" t="s">
        <v>4</v>
      </c>
      <c r="G149" s="288" t="s">
        <v>27</v>
      </c>
      <c r="H149" s="380">
        <f t="shared" si="37"/>
        <v>1</v>
      </c>
      <c r="I149" s="68" t="str">
        <f t="shared" si="39"/>
        <v>0</v>
      </c>
      <c r="J149" s="68">
        <f t="shared" si="40"/>
        <v>400000</v>
      </c>
      <c r="K149" s="68" t="b">
        <f t="shared" si="41"/>
        <v>0</v>
      </c>
      <c r="L149" s="68">
        <f t="shared" si="42"/>
        <v>0</v>
      </c>
      <c r="M149" s="68" t="b">
        <f t="shared" si="43"/>
        <v>0</v>
      </c>
      <c r="N149" s="68">
        <f t="shared" si="44"/>
        <v>0</v>
      </c>
    </row>
    <row r="150" spans="4:14" x14ac:dyDescent="0.35">
      <c r="D150" s="42" t="s">
        <v>315</v>
      </c>
      <c r="E150" s="44">
        <v>3420000</v>
      </c>
      <c r="F150" s="42" t="s">
        <v>4</v>
      </c>
      <c r="G150" s="288">
        <v>0</v>
      </c>
      <c r="H150" s="380">
        <f t="shared" si="37"/>
        <v>0</v>
      </c>
      <c r="I150" s="68">
        <f t="shared" si="39"/>
        <v>0</v>
      </c>
      <c r="J150" s="68">
        <f t="shared" si="40"/>
        <v>0</v>
      </c>
      <c r="K150" s="68" t="b">
        <f t="shared" si="41"/>
        <v>0</v>
      </c>
      <c r="L150" s="68">
        <f t="shared" si="42"/>
        <v>0</v>
      </c>
      <c r="M150" s="68" t="b">
        <f t="shared" si="43"/>
        <v>0</v>
      </c>
      <c r="N150" s="68">
        <f t="shared" si="44"/>
        <v>0</v>
      </c>
    </row>
    <row r="151" spans="4:14" x14ac:dyDescent="0.35">
      <c r="D151" s="42" t="s">
        <v>314</v>
      </c>
      <c r="E151" s="44">
        <v>400000</v>
      </c>
      <c r="F151" s="42" t="s">
        <v>4</v>
      </c>
      <c r="G151" s="282">
        <v>1</v>
      </c>
      <c r="H151" s="380">
        <f t="shared" si="37"/>
        <v>1</v>
      </c>
      <c r="I151" s="68">
        <f t="shared" si="39"/>
        <v>400000</v>
      </c>
      <c r="J151" s="68">
        <f t="shared" si="40"/>
        <v>0</v>
      </c>
      <c r="K151" s="68" t="b">
        <f t="shared" si="41"/>
        <v>0</v>
      </c>
      <c r="L151" s="68">
        <f t="shared" si="42"/>
        <v>0</v>
      </c>
      <c r="M151" s="68" t="b">
        <f t="shared" si="43"/>
        <v>0</v>
      </c>
      <c r="N151" s="68">
        <f t="shared" si="44"/>
        <v>0</v>
      </c>
    </row>
    <row r="152" spans="4:14" x14ac:dyDescent="0.35">
      <c r="D152" s="42" t="s">
        <v>313</v>
      </c>
      <c r="E152" s="44">
        <v>1600000</v>
      </c>
      <c r="F152" s="42" t="s">
        <v>4</v>
      </c>
      <c r="G152" s="288"/>
      <c r="H152" s="380">
        <f t="shared" si="37"/>
        <v>0</v>
      </c>
      <c r="I152" s="68"/>
      <c r="J152" s="68"/>
      <c r="K152" s="68"/>
      <c r="L152" s="68"/>
      <c r="M152" s="68"/>
      <c r="N152" s="68"/>
    </row>
    <row r="153" spans="4:14" x14ac:dyDescent="0.35">
      <c r="D153" s="42" t="s">
        <v>312</v>
      </c>
      <c r="E153" s="44">
        <v>1000000</v>
      </c>
      <c r="F153" s="42" t="s">
        <v>4</v>
      </c>
      <c r="G153" s="288" t="s">
        <v>27</v>
      </c>
      <c r="H153" s="380">
        <f t="shared" si="37"/>
        <v>1</v>
      </c>
      <c r="I153" s="68" t="str">
        <f>IF(ISNUMBER(G153*E153),E153*G153,"0")</f>
        <v>0</v>
      </c>
      <c r="J153" s="68">
        <f>IF(AND(NOT($M153),$G153="mix"),$E153,0)</f>
        <v>1000000</v>
      </c>
      <c r="K153" s="68" t="b">
        <f>AND(M153,G153&gt;0)</f>
        <v>0</v>
      </c>
      <c r="L153" s="68">
        <f>IF(AND(NOT($M153),$G153="inc"),$E153,0)</f>
        <v>0</v>
      </c>
      <c r="M153" s="68" t="b">
        <f>NOT(ISNUMBER($E153))</f>
        <v>0</v>
      </c>
      <c r="N153" s="68">
        <f>IF(AND(NOT(ISNUMBER(G153)),L153+K153+J153+I153=0),E153,0)</f>
        <v>0</v>
      </c>
    </row>
    <row r="154" spans="4:14" x14ac:dyDescent="0.35">
      <c r="D154" s="42" t="s">
        <v>311</v>
      </c>
      <c r="E154" s="44">
        <v>600000</v>
      </c>
      <c r="F154" s="42" t="s">
        <v>4</v>
      </c>
      <c r="G154" s="282">
        <v>0</v>
      </c>
      <c r="H154" s="380">
        <f t="shared" si="37"/>
        <v>0</v>
      </c>
      <c r="I154" s="68"/>
      <c r="J154" s="68"/>
      <c r="K154" s="68"/>
      <c r="L154" s="68"/>
      <c r="M154" s="68" t="b">
        <f>NOT(ISNUMBER($E154))</f>
        <v>0</v>
      </c>
      <c r="N154" s="68"/>
    </row>
    <row r="155" spans="4:14" x14ac:dyDescent="0.35">
      <c r="D155" s="42" t="s">
        <v>310</v>
      </c>
      <c r="E155" s="44">
        <v>1030000</v>
      </c>
      <c r="F155" s="42" t="s">
        <v>4</v>
      </c>
      <c r="G155" s="288">
        <v>0</v>
      </c>
      <c r="H155" s="380">
        <f t="shared" si="37"/>
        <v>0</v>
      </c>
      <c r="I155" s="68">
        <f>IF(ISNUMBER(G155*E155),E155*G155,"0")</f>
        <v>0</v>
      </c>
      <c r="J155" s="68">
        <f>IF(AND(NOT($M155),$G155="mix"),$E155,0)</f>
        <v>0</v>
      </c>
      <c r="K155" s="68" t="b">
        <f>AND(M155,G155&gt;0)</f>
        <v>0</v>
      </c>
      <c r="L155" s="68">
        <f>IF(AND(NOT($M155),$G155="inc"),$E155,0)</f>
        <v>0</v>
      </c>
      <c r="M155" s="68" t="b">
        <f>NOT(ISNUMBER($E155))</f>
        <v>0</v>
      </c>
      <c r="N155" s="68">
        <f>IF(AND(NOT(ISNUMBER(G155)),L155+K155+J155+I155=0),E155,0)</f>
        <v>0</v>
      </c>
    </row>
    <row r="156" spans="4:14" x14ac:dyDescent="0.35">
      <c r="D156" s="42" t="s">
        <v>309</v>
      </c>
      <c r="E156" s="44">
        <v>12000000</v>
      </c>
      <c r="F156" s="42" t="s">
        <v>4</v>
      </c>
      <c r="G156" s="288" t="s">
        <v>27</v>
      </c>
      <c r="H156" s="380">
        <f t="shared" si="37"/>
        <v>1</v>
      </c>
      <c r="I156" s="68" t="str">
        <f>IF(ISNUMBER(G156*E156),E156*G156,"0")</f>
        <v>0</v>
      </c>
      <c r="J156" s="68">
        <f>IF(AND(NOT($M156),$G156="mix"),$E156,0)</f>
        <v>12000000</v>
      </c>
      <c r="K156" s="68" t="b">
        <f>AND(M156,G156&gt;0)</f>
        <v>0</v>
      </c>
      <c r="L156" s="68">
        <f>IF(AND(NOT($M156),$G156="inc"),$E156,0)</f>
        <v>0</v>
      </c>
      <c r="M156" s="68" t="b">
        <f>NOT(ISNUMBER($E156))</f>
        <v>0</v>
      </c>
      <c r="N156" s="68">
        <f>IF(AND(NOT(ISNUMBER(G156)),L156+K156+J156+I156=0),E156,0)</f>
        <v>0</v>
      </c>
    </row>
    <row r="157" spans="4:14" x14ac:dyDescent="0.35">
      <c r="D157" s="11" t="s">
        <v>308</v>
      </c>
      <c r="E157" s="113">
        <f>SUM(E158:E161)</f>
        <v>73490000</v>
      </c>
      <c r="F157" s="42" t="s">
        <v>4</v>
      </c>
      <c r="G157" s="288"/>
      <c r="H157" s="380">
        <f t="shared" si="37"/>
        <v>0</v>
      </c>
      <c r="I157" s="68"/>
      <c r="J157" s="68"/>
      <c r="K157" s="68"/>
      <c r="L157" s="68"/>
      <c r="M157" s="68"/>
      <c r="N157" s="68"/>
    </row>
    <row r="158" spans="4:14" x14ac:dyDescent="0.35">
      <c r="D158" s="42" t="s">
        <v>307</v>
      </c>
      <c r="E158" s="44">
        <v>62110000</v>
      </c>
      <c r="F158" s="42" t="s">
        <v>4</v>
      </c>
      <c r="G158" s="282">
        <v>1</v>
      </c>
      <c r="H158" s="380">
        <f t="shared" si="37"/>
        <v>1</v>
      </c>
      <c r="I158" s="68">
        <f>IF(ISNUMBER(G158*E158),E158*G158,"0")</f>
        <v>62110000</v>
      </c>
      <c r="J158" s="68">
        <f>IF(AND(NOT($M158),$G158="mix"),$E158,0)</f>
        <v>0</v>
      </c>
      <c r="K158" s="68" t="b">
        <f>AND(M158,G158&gt;0)</f>
        <v>0</v>
      </c>
      <c r="L158" s="68">
        <f>IF(AND(NOT($M158),$G158="inc"),$E158,0)</f>
        <v>0</v>
      </c>
      <c r="M158" s="68" t="b">
        <f>NOT(ISNUMBER($E158))</f>
        <v>0</v>
      </c>
      <c r="N158" s="68">
        <f>IF(AND(NOT(ISNUMBER(G158)),L158+K158+J158+I158=0),E158,0)</f>
        <v>0</v>
      </c>
    </row>
    <row r="159" spans="4:14" x14ac:dyDescent="0.35">
      <c r="D159" s="42" t="s">
        <v>306</v>
      </c>
      <c r="E159" s="44">
        <v>6460000</v>
      </c>
      <c r="F159" s="42" t="s">
        <v>4</v>
      </c>
      <c r="G159" s="282">
        <v>1</v>
      </c>
      <c r="H159" s="380">
        <f t="shared" si="37"/>
        <v>1</v>
      </c>
      <c r="I159" s="68">
        <f>IF(ISNUMBER(G159*E159),E159*G159,"0")</f>
        <v>6460000</v>
      </c>
      <c r="J159" s="68">
        <f>IF(AND(NOT($M159),$G159="mix"),$E159,0)</f>
        <v>0</v>
      </c>
      <c r="K159" s="68" t="b">
        <f>AND(M159,G159&gt;0)</f>
        <v>0</v>
      </c>
      <c r="L159" s="68">
        <f>IF(AND(NOT($M159),$G159="inc"),$E159,0)</f>
        <v>0</v>
      </c>
      <c r="M159" s="68" t="b">
        <f>NOT(ISNUMBER($E159))</f>
        <v>0</v>
      </c>
      <c r="N159" s="68">
        <f>IF(AND(NOT(ISNUMBER(G159)),L159+K159+J159+I159=0),E159,0)</f>
        <v>0</v>
      </c>
    </row>
    <row r="160" spans="4:14" x14ac:dyDescent="0.35">
      <c r="D160" s="42" t="s">
        <v>305</v>
      </c>
      <c r="E160" s="44">
        <v>2880000</v>
      </c>
      <c r="F160" s="42" t="s">
        <v>4</v>
      </c>
      <c r="G160" s="282">
        <v>1</v>
      </c>
      <c r="H160" s="380">
        <f t="shared" si="37"/>
        <v>1</v>
      </c>
      <c r="I160" s="68">
        <f>IF(ISNUMBER(G160*E160),E160*G160,"0")</f>
        <v>2880000</v>
      </c>
      <c r="J160" s="68">
        <f>IF(AND(NOT($M160),$G160="mix"),$E160,0)</f>
        <v>0</v>
      </c>
      <c r="K160" s="68" t="b">
        <f>AND(M160,G160&gt;0)</f>
        <v>0</v>
      </c>
      <c r="L160" s="68">
        <f>IF(AND(NOT($M160),$G160="inc"),$E160,0)</f>
        <v>0</v>
      </c>
      <c r="M160" s="68" t="b">
        <f>NOT(ISNUMBER($E160))</f>
        <v>0</v>
      </c>
      <c r="N160" s="68">
        <f>IF(AND(NOT(ISNUMBER(G160)),L160+K160+J160+I160=0),E160,0)</f>
        <v>0</v>
      </c>
    </row>
    <row r="161" spans="4:14" x14ac:dyDescent="0.35">
      <c r="D161" s="42" t="s">
        <v>304</v>
      </c>
      <c r="E161" s="44">
        <v>2040000</v>
      </c>
      <c r="F161" s="42" t="s">
        <v>4</v>
      </c>
      <c r="G161" s="282">
        <v>1</v>
      </c>
      <c r="H161" s="380">
        <f t="shared" si="37"/>
        <v>1</v>
      </c>
      <c r="I161" s="68">
        <f>IF(ISNUMBER(G161*E161),E161*G161,"0")</f>
        <v>2040000</v>
      </c>
      <c r="J161" s="68">
        <f>IF(AND(NOT($M161),$G161="mix"),$E161,0)</f>
        <v>0</v>
      </c>
      <c r="K161" s="68" t="b">
        <f>AND(M161,G161&gt;0)</f>
        <v>0</v>
      </c>
      <c r="L161" s="68">
        <f>IF(AND(NOT($M161),$G161="inc"),$E161,0)</f>
        <v>0</v>
      </c>
      <c r="M161" s="68" t="b">
        <f>NOT(ISNUMBER($E161))</f>
        <v>0</v>
      </c>
      <c r="N161" s="68">
        <f>IF(AND(NOT(ISNUMBER(G161)),L161+K161+J161+I161=0),E161,0)</f>
        <v>0</v>
      </c>
    </row>
    <row r="162" spans="4:14" x14ac:dyDescent="0.35">
      <c r="D162" s="11" t="s">
        <v>303</v>
      </c>
      <c r="E162" s="113">
        <f>SUM(E163:E172)</f>
        <v>237860000</v>
      </c>
      <c r="F162" s="42" t="s">
        <v>4</v>
      </c>
      <c r="G162" s="282"/>
      <c r="H162" s="380">
        <f t="shared" si="37"/>
        <v>0</v>
      </c>
      <c r="I162" s="68"/>
      <c r="J162" s="68"/>
      <c r="K162" s="68"/>
      <c r="L162" s="68"/>
      <c r="M162" s="68"/>
      <c r="N162" s="68"/>
    </row>
    <row r="163" spans="4:14" x14ac:dyDescent="0.35">
      <c r="D163" s="42" t="s">
        <v>302</v>
      </c>
      <c r="E163" s="44">
        <v>14970000</v>
      </c>
      <c r="F163" s="42" t="s">
        <v>4</v>
      </c>
      <c r="G163" s="288" t="s">
        <v>27</v>
      </c>
      <c r="H163" s="380">
        <f t="shared" si="37"/>
        <v>1</v>
      </c>
      <c r="I163" s="68" t="str">
        <f t="shared" ref="I163:I175" si="45">IF(ISNUMBER(G163*E163),E163*G163,"0")</f>
        <v>0</v>
      </c>
      <c r="J163" s="68">
        <f t="shared" ref="J163:J175" si="46">IF(AND(NOT($M163),$G163="mix"),$E163,0)</f>
        <v>14970000</v>
      </c>
      <c r="K163" s="68" t="b">
        <f t="shared" ref="K163:K175" si="47">AND(M163,G163&gt;0)</f>
        <v>0</v>
      </c>
      <c r="L163" s="68">
        <f t="shared" ref="L163:L175" si="48">IF(AND(NOT($M163),$G163="inc"),$E163,0)</f>
        <v>0</v>
      </c>
      <c r="M163" s="68" t="b">
        <f t="shared" ref="M163:M175" si="49">NOT(ISNUMBER($E163))</f>
        <v>0</v>
      </c>
      <c r="N163" s="68">
        <f t="shared" ref="N163:N175" si="50">IF(AND(NOT(ISNUMBER(G163)),L163+K163+J163+I163=0),E163,0)</f>
        <v>0</v>
      </c>
    </row>
    <row r="164" spans="4:14" x14ac:dyDescent="0.35">
      <c r="D164" s="42" t="s">
        <v>301</v>
      </c>
      <c r="E164" s="44">
        <v>42200000</v>
      </c>
      <c r="F164" s="42" t="s">
        <v>4</v>
      </c>
      <c r="G164" s="288" t="s">
        <v>27</v>
      </c>
      <c r="H164" s="380">
        <f t="shared" si="37"/>
        <v>1</v>
      </c>
      <c r="I164" s="68" t="str">
        <f t="shared" si="45"/>
        <v>0</v>
      </c>
      <c r="J164" s="68">
        <f t="shared" si="46"/>
        <v>42200000</v>
      </c>
      <c r="K164" s="68" t="b">
        <f t="shared" si="47"/>
        <v>0</v>
      </c>
      <c r="L164" s="68">
        <f t="shared" si="48"/>
        <v>0</v>
      </c>
      <c r="M164" s="68" t="b">
        <f t="shared" si="49"/>
        <v>0</v>
      </c>
      <c r="N164" s="68">
        <f t="shared" si="50"/>
        <v>0</v>
      </c>
    </row>
    <row r="165" spans="4:14" x14ac:dyDescent="0.35">
      <c r="D165" s="42" t="s">
        <v>300</v>
      </c>
      <c r="E165" s="44">
        <v>19930000</v>
      </c>
      <c r="F165" s="42" t="s">
        <v>4</v>
      </c>
      <c r="G165" s="288" t="s">
        <v>27</v>
      </c>
      <c r="H165" s="380">
        <f t="shared" si="37"/>
        <v>1</v>
      </c>
      <c r="I165" s="68" t="str">
        <f t="shared" si="45"/>
        <v>0</v>
      </c>
      <c r="J165" s="68">
        <f t="shared" si="46"/>
        <v>19930000</v>
      </c>
      <c r="K165" s="68" t="b">
        <f t="shared" si="47"/>
        <v>0</v>
      </c>
      <c r="L165" s="68">
        <f t="shared" si="48"/>
        <v>0</v>
      </c>
      <c r="M165" s="68" t="b">
        <f t="shared" si="49"/>
        <v>0</v>
      </c>
      <c r="N165" s="68">
        <f t="shared" si="50"/>
        <v>0</v>
      </c>
    </row>
    <row r="166" spans="4:14" x14ac:dyDescent="0.35">
      <c r="D166" s="42" t="s">
        <v>299</v>
      </c>
      <c r="E166" s="44">
        <v>11830000</v>
      </c>
      <c r="F166" s="42" t="s">
        <v>4</v>
      </c>
      <c r="G166" s="288" t="s">
        <v>27</v>
      </c>
      <c r="H166" s="380">
        <f t="shared" si="37"/>
        <v>1</v>
      </c>
      <c r="I166" s="68" t="str">
        <f t="shared" si="45"/>
        <v>0</v>
      </c>
      <c r="J166" s="68">
        <f t="shared" si="46"/>
        <v>11830000</v>
      </c>
      <c r="K166" s="68" t="b">
        <f t="shared" si="47"/>
        <v>0</v>
      </c>
      <c r="L166" s="68">
        <f t="shared" si="48"/>
        <v>0</v>
      </c>
      <c r="M166" s="68" t="b">
        <f t="shared" si="49"/>
        <v>0</v>
      </c>
      <c r="N166" s="68">
        <f t="shared" si="50"/>
        <v>0</v>
      </c>
    </row>
    <row r="167" spans="4:14" x14ac:dyDescent="0.35">
      <c r="D167" s="42" t="s">
        <v>298</v>
      </c>
      <c r="E167" s="44">
        <v>7600000</v>
      </c>
      <c r="F167" s="42" t="s">
        <v>4</v>
      </c>
      <c r="G167" s="288" t="s">
        <v>27</v>
      </c>
      <c r="H167" s="380">
        <f t="shared" si="37"/>
        <v>1</v>
      </c>
      <c r="I167" s="68" t="str">
        <f t="shared" si="45"/>
        <v>0</v>
      </c>
      <c r="J167" s="68">
        <f t="shared" si="46"/>
        <v>7600000</v>
      </c>
      <c r="K167" s="68" t="b">
        <f t="shared" si="47"/>
        <v>0</v>
      </c>
      <c r="L167" s="68">
        <f t="shared" si="48"/>
        <v>0</v>
      </c>
      <c r="M167" s="68" t="b">
        <f t="shared" si="49"/>
        <v>0</v>
      </c>
      <c r="N167" s="68">
        <f t="shared" si="50"/>
        <v>0</v>
      </c>
    </row>
    <row r="168" spans="4:14" x14ac:dyDescent="0.35">
      <c r="D168" s="42" t="s">
        <v>297</v>
      </c>
      <c r="E168" s="44">
        <v>20000000</v>
      </c>
      <c r="F168" s="42" t="s">
        <v>4</v>
      </c>
      <c r="G168" s="288">
        <v>0</v>
      </c>
      <c r="H168" s="380">
        <f t="shared" si="37"/>
        <v>0</v>
      </c>
      <c r="I168" s="68">
        <f t="shared" si="45"/>
        <v>0</v>
      </c>
      <c r="J168" s="68">
        <f t="shared" si="46"/>
        <v>0</v>
      </c>
      <c r="K168" s="68" t="b">
        <f t="shared" si="47"/>
        <v>0</v>
      </c>
      <c r="L168" s="68">
        <f t="shared" si="48"/>
        <v>0</v>
      </c>
      <c r="M168" s="68" t="b">
        <f t="shared" si="49"/>
        <v>0</v>
      </c>
      <c r="N168" s="68">
        <f t="shared" si="50"/>
        <v>0</v>
      </c>
    </row>
    <row r="169" spans="4:14" x14ac:dyDescent="0.35">
      <c r="D169" s="42" t="s">
        <v>296</v>
      </c>
      <c r="E169" s="44">
        <v>9060000</v>
      </c>
      <c r="F169" s="42" t="s">
        <v>4</v>
      </c>
      <c r="G169" s="288" t="s">
        <v>27</v>
      </c>
      <c r="H169" s="380">
        <f t="shared" si="37"/>
        <v>1</v>
      </c>
      <c r="I169" s="68" t="str">
        <f t="shared" si="45"/>
        <v>0</v>
      </c>
      <c r="J169" s="68">
        <f t="shared" si="46"/>
        <v>9060000</v>
      </c>
      <c r="K169" s="68" t="b">
        <f t="shared" si="47"/>
        <v>0</v>
      </c>
      <c r="L169" s="68">
        <f t="shared" si="48"/>
        <v>0</v>
      </c>
      <c r="M169" s="68" t="b">
        <f t="shared" si="49"/>
        <v>0</v>
      </c>
      <c r="N169" s="68">
        <f t="shared" si="50"/>
        <v>0</v>
      </c>
    </row>
    <row r="170" spans="4:14" x14ac:dyDescent="0.35">
      <c r="D170" s="42" t="s">
        <v>295</v>
      </c>
      <c r="E170" s="44">
        <v>45170000</v>
      </c>
      <c r="F170" s="42" t="s">
        <v>4</v>
      </c>
      <c r="G170" s="288" t="s">
        <v>27</v>
      </c>
      <c r="H170" s="380">
        <f t="shared" si="37"/>
        <v>1</v>
      </c>
      <c r="I170" s="68" t="str">
        <f t="shared" si="45"/>
        <v>0</v>
      </c>
      <c r="J170" s="68">
        <f t="shared" si="46"/>
        <v>45170000</v>
      </c>
      <c r="K170" s="68" t="b">
        <f t="shared" si="47"/>
        <v>0</v>
      </c>
      <c r="L170" s="68">
        <f t="shared" si="48"/>
        <v>0</v>
      </c>
      <c r="M170" s="68" t="b">
        <f t="shared" si="49"/>
        <v>0</v>
      </c>
      <c r="N170" s="68">
        <f t="shared" si="50"/>
        <v>0</v>
      </c>
    </row>
    <row r="171" spans="4:14" x14ac:dyDescent="0.35">
      <c r="D171" s="42" t="s">
        <v>294</v>
      </c>
      <c r="E171" s="44">
        <v>56480000</v>
      </c>
      <c r="F171" s="42" t="s">
        <v>4</v>
      </c>
      <c r="G171" s="288">
        <v>0</v>
      </c>
      <c r="H171" s="380">
        <f t="shared" si="37"/>
        <v>0</v>
      </c>
      <c r="I171" s="68">
        <f t="shared" si="45"/>
        <v>0</v>
      </c>
      <c r="J171" s="68">
        <f t="shared" si="46"/>
        <v>0</v>
      </c>
      <c r="K171" s="68" t="b">
        <f t="shared" si="47"/>
        <v>0</v>
      </c>
      <c r="L171" s="68">
        <f t="shared" si="48"/>
        <v>0</v>
      </c>
      <c r="M171" s="68" t="b">
        <f t="shared" si="49"/>
        <v>0</v>
      </c>
      <c r="N171" s="68">
        <f t="shared" si="50"/>
        <v>0</v>
      </c>
    </row>
    <row r="172" spans="4:14" x14ac:dyDescent="0.35">
      <c r="D172" s="42" t="s">
        <v>293</v>
      </c>
      <c r="E172" s="44">
        <v>10620000</v>
      </c>
      <c r="F172" s="42" t="s">
        <v>4</v>
      </c>
      <c r="G172" s="288">
        <v>0</v>
      </c>
      <c r="H172" s="380">
        <f t="shared" si="37"/>
        <v>0</v>
      </c>
      <c r="I172" s="68">
        <f t="shared" si="45"/>
        <v>0</v>
      </c>
      <c r="J172" s="68">
        <f t="shared" si="46"/>
        <v>0</v>
      </c>
      <c r="K172" s="68" t="b">
        <f t="shared" si="47"/>
        <v>0</v>
      </c>
      <c r="L172" s="68">
        <f t="shared" si="48"/>
        <v>0</v>
      </c>
      <c r="M172" s="68" t="b">
        <f t="shared" si="49"/>
        <v>0</v>
      </c>
      <c r="N172" s="68">
        <f t="shared" si="50"/>
        <v>0</v>
      </c>
    </row>
    <row r="173" spans="4:14" x14ac:dyDescent="0.35">
      <c r="D173" s="11" t="s">
        <v>292</v>
      </c>
      <c r="E173" s="113">
        <v>969500</v>
      </c>
      <c r="F173" s="42" t="s">
        <v>4</v>
      </c>
      <c r="G173" s="282">
        <v>0</v>
      </c>
      <c r="H173" s="380">
        <f t="shared" si="37"/>
        <v>0</v>
      </c>
      <c r="I173" s="68">
        <f t="shared" si="45"/>
        <v>0</v>
      </c>
      <c r="J173" s="68">
        <f t="shared" si="46"/>
        <v>0</v>
      </c>
      <c r="K173" s="68" t="b">
        <f t="shared" si="47"/>
        <v>0</v>
      </c>
      <c r="L173" s="68">
        <f t="shared" si="48"/>
        <v>0</v>
      </c>
      <c r="M173" s="68" t="b">
        <f t="shared" si="49"/>
        <v>0</v>
      </c>
      <c r="N173" s="68">
        <f t="shared" si="50"/>
        <v>0</v>
      </c>
    </row>
    <row r="174" spans="4:14" x14ac:dyDescent="0.35">
      <c r="D174" s="11" t="s">
        <v>291</v>
      </c>
      <c r="E174" s="113">
        <v>77264356</v>
      </c>
      <c r="F174" s="42" t="s">
        <v>4</v>
      </c>
      <c r="G174" s="288" t="s">
        <v>27</v>
      </c>
      <c r="H174" s="380">
        <f t="shared" si="37"/>
        <v>1</v>
      </c>
      <c r="I174" s="68" t="str">
        <f t="shared" si="45"/>
        <v>0</v>
      </c>
      <c r="J174" s="68">
        <f t="shared" si="46"/>
        <v>77264356</v>
      </c>
      <c r="K174" s="68" t="b">
        <f t="shared" si="47"/>
        <v>0</v>
      </c>
      <c r="L174" s="68">
        <f t="shared" si="48"/>
        <v>0</v>
      </c>
      <c r="M174" s="68" t="b">
        <f t="shared" si="49"/>
        <v>0</v>
      </c>
      <c r="N174" s="68">
        <f t="shared" si="50"/>
        <v>0</v>
      </c>
    </row>
    <row r="175" spans="4:14" x14ac:dyDescent="0.35">
      <c r="D175" s="11" t="s">
        <v>290</v>
      </c>
      <c r="E175" s="113">
        <v>33026539</v>
      </c>
      <c r="F175" s="42" t="s">
        <v>4</v>
      </c>
      <c r="G175" s="282">
        <v>0</v>
      </c>
      <c r="H175" s="380">
        <f t="shared" si="37"/>
        <v>0</v>
      </c>
      <c r="I175" s="68">
        <f t="shared" si="45"/>
        <v>0</v>
      </c>
      <c r="J175" s="68">
        <f t="shared" si="46"/>
        <v>0</v>
      </c>
      <c r="K175" s="68" t="b">
        <f t="shared" si="47"/>
        <v>0</v>
      </c>
      <c r="L175" s="68">
        <f t="shared" si="48"/>
        <v>0</v>
      </c>
      <c r="M175" s="68" t="b">
        <f t="shared" si="49"/>
        <v>0</v>
      </c>
      <c r="N175" s="68">
        <f t="shared" si="50"/>
        <v>0</v>
      </c>
    </row>
    <row r="176" spans="4:14" x14ac:dyDescent="0.35">
      <c r="D176" s="278" t="s">
        <v>102</v>
      </c>
      <c r="E176" s="279">
        <f>E177+E185+E189+E195+E196+E197+E178+E184</f>
        <v>33151556</v>
      </c>
      <c r="F176" s="73" t="s">
        <v>4</v>
      </c>
      <c r="G176" s="280"/>
      <c r="H176" s="380">
        <f t="shared" si="37"/>
        <v>0</v>
      </c>
      <c r="I176" s="279">
        <f t="shared" ref="I176:N176" si="51">I177+I185+I189+I195+I196+I197+I178+I184</f>
        <v>0</v>
      </c>
      <c r="J176" s="279">
        <f t="shared" si="51"/>
        <v>19532685</v>
      </c>
      <c r="K176" s="279">
        <f t="shared" si="51"/>
        <v>0</v>
      </c>
      <c r="L176" s="279">
        <f t="shared" si="51"/>
        <v>0</v>
      </c>
      <c r="M176" s="279">
        <f t="shared" si="51"/>
        <v>0</v>
      </c>
      <c r="N176" s="279">
        <f t="shared" si="51"/>
        <v>0</v>
      </c>
    </row>
    <row r="177" spans="4:14" x14ac:dyDescent="0.35">
      <c r="D177" s="11" t="s">
        <v>289</v>
      </c>
      <c r="E177" s="113">
        <v>1866265</v>
      </c>
      <c r="F177" s="42" t="s">
        <v>4</v>
      </c>
      <c r="G177" s="282">
        <v>0</v>
      </c>
      <c r="H177" s="380">
        <f t="shared" si="37"/>
        <v>0</v>
      </c>
      <c r="I177" s="68">
        <f>IF(ISNUMBER(G177*E177),E177*G177,"0")</f>
        <v>0</v>
      </c>
      <c r="J177" s="68">
        <f>IF(AND(NOT($M177),$G177="mix"),$E177,0)</f>
        <v>0</v>
      </c>
      <c r="K177" s="68" t="b">
        <f>AND(M177,G177&gt;0)</f>
        <v>0</v>
      </c>
      <c r="L177" s="68">
        <f>IF(AND(NOT($M177),$G177="inc"),$E177,0)</f>
        <v>0</v>
      </c>
      <c r="M177" s="68" t="b">
        <f>NOT(ISNUMBER($E177))</f>
        <v>0</v>
      </c>
      <c r="N177" s="68">
        <f>IF(AND(NOT(ISNUMBER(G177)),L177+K177+J177+I177=0),E177,0)</f>
        <v>0</v>
      </c>
    </row>
    <row r="178" spans="4:14" x14ac:dyDescent="0.35">
      <c r="D178" s="11" t="s">
        <v>288</v>
      </c>
      <c r="E178" s="113">
        <v>3787563</v>
      </c>
      <c r="F178" s="42" t="s">
        <v>4</v>
      </c>
      <c r="G178" s="282" t="s">
        <v>27</v>
      </c>
      <c r="H178" s="380">
        <f t="shared" si="37"/>
        <v>1</v>
      </c>
      <c r="I178" s="68" t="str">
        <f>IF(ISNUMBER(G178*E178),E178*G178,"0")</f>
        <v>0</v>
      </c>
      <c r="J178" s="68">
        <f>IF(AND(NOT($M178),$G178="mix"),$E178,0)</f>
        <v>3787563</v>
      </c>
      <c r="K178" s="68" t="b">
        <f>AND(M178,G178&gt;0)</f>
        <v>0</v>
      </c>
      <c r="L178" s="68">
        <f>IF(AND(NOT($M178),$G178="inc"),$E178,0)</f>
        <v>0</v>
      </c>
      <c r="M178" s="68" t="b">
        <f>NOT(ISNUMBER($E178))</f>
        <v>0</v>
      </c>
      <c r="N178" s="68">
        <f>IF(AND(NOT(ISNUMBER(G178)),L178+K178+J178+I178=0),E178,0)</f>
        <v>0</v>
      </c>
    </row>
    <row r="179" spans="4:14" x14ac:dyDescent="0.35">
      <c r="D179" s="41" t="s">
        <v>287</v>
      </c>
      <c r="E179" s="44">
        <v>1000000</v>
      </c>
      <c r="F179" s="42" t="s">
        <v>4</v>
      </c>
      <c r="G179" s="282">
        <v>0</v>
      </c>
      <c r="H179" s="380">
        <f t="shared" si="37"/>
        <v>0</v>
      </c>
      <c r="I179" s="68"/>
      <c r="J179" s="68"/>
      <c r="K179" s="68"/>
      <c r="L179" s="68"/>
      <c r="M179" s="68"/>
      <c r="N179" s="68"/>
    </row>
    <row r="180" spans="4:14" x14ac:dyDescent="0.35">
      <c r="D180" s="41" t="s">
        <v>286</v>
      </c>
      <c r="E180" s="44">
        <v>787563</v>
      </c>
      <c r="F180" s="42" t="s">
        <v>4</v>
      </c>
      <c r="G180" s="282">
        <v>0</v>
      </c>
      <c r="H180" s="380">
        <f t="shared" si="37"/>
        <v>0</v>
      </c>
      <c r="I180" s="68"/>
      <c r="J180" s="68"/>
      <c r="K180" s="68"/>
      <c r="L180" s="68"/>
      <c r="M180" s="68"/>
      <c r="N180" s="68"/>
    </row>
    <row r="181" spans="4:14" x14ac:dyDescent="0.35">
      <c r="D181" s="41" t="s">
        <v>285</v>
      </c>
      <c r="E181" s="44" t="s">
        <v>119</v>
      </c>
      <c r="F181" s="42" t="s">
        <v>4</v>
      </c>
      <c r="G181" s="282" t="s">
        <v>282</v>
      </c>
      <c r="H181" s="380">
        <f t="shared" si="37"/>
        <v>1</v>
      </c>
      <c r="I181" s="68"/>
      <c r="J181" s="68"/>
      <c r="K181" s="68"/>
      <c r="L181" s="68"/>
      <c r="M181" s="68"/>
      <c r="N181" s="68"/>
    </row>
    <row r="182" spans="4:14" x14ac:dyDescent="0.35">
      <c r="D182" s="41" t="s">
        <v>284</v>
      </c>
      <c r="E182" s="44">
        <v>1000000</v>
      </c>
      <c r="F182" s="42" t="s">
        <v>4</v>
      </c>
      <c r="G182" s="282">
        <v>1</v>
      </c>
      <c r="H182" s="380">
        <f t="shared" si="37"/>
        <v>1</v>
      </c>
      <c r="I182" s="68"/>
      <c r="J182" s="68"/>
      <c r="K182" s="68"/>
      <c r="L182" s="68"/>
      <c r="M182" s="68"/>
      <c r="N182" s="68"/>
    </row>
    <row r="183" spans="4:14" x14ac:dyDescent="0.35">
      <c r="D183" s="41" t="s">
        <v>283</v>
      </c>
      <c r="E183" s="44" t="s">
        <v>119</v>
      </c>
      <c r="F183" s="42" t="s">
        <v>4</v>
      </c>
      <c r="G183" s="282" t="s">
        <v>282</v>
      </c>
      <c r="H183" s="380">
        <f t="shared" si="37"/>
        <v>1</v>
      </c>
      <c r="I183" s="68"/>
      <c r="J183" s="68"/>
      <c r="K183" s="68"/>
      <c r="L183" s="68"/>
      <c r="M183" s="68"/>
      <c r="N183" s="68"/>
    </row>
    <row r="184" spans="4:14" x14ac:dyDescent="0.35">
      <c r="D184" s="11" t="s">
        <v>281</v>
      </c>
      <c r="E184" s="113">
        <v>4227500</v>
      </c>
      <c r="F184" s="42" t="s">
        <v>4</v>
      </c>
      <c r="G184" s="282">
        <v>0</v>
      </c>
      <c r="H184" s="380">
        <f t="shared" si="37"/>
        <v>0</v>
      </c>
      <c r="I184" s="68">
        <f>IF(ISNUMBER(G184*E184),E184*G184,"0")</f>
        <v>0</v>
      </c>
      <c r="J184" s="68">
        <f>IF(AND(NOT($M184),$G184="mix"),$E184,0)</f>
        <v>0</v>
      </c>
      <c r="K184" s="68" t="b">
        <f>AND(M184,G184&gt;0)</f>
        <v>0</v>
      </c>
      <c r="L184" s="68">
        <f>IF(AND(NOT($M184),$G184="inc"),$E184,0)</f>
        <v>0</v>
      </c>
      <c r="M184" s="68" t="b">
        <f>NOT(ISNUMBER($E184))</f>
        <v>0</v>
      </c>
      <c r="N184" s="68">
        <f>IF(AND(NOT(ISNUMBER(G184)),L184+K184+J184+I184=0),E184,0)</f>
        <v>0</v>
      </c>
    </row>
    <row r="185" spans="4:14" x14ac:dyDescent="0.35">
      <c r="D185" s="11" t="s">
        <v>280</v>
      </c>
      <c r="E185" s="113">
        <v>4205454</v>
      </c>
      <c r="F185" s="42" t="s">
        <v>4</v>
      </c>
      <c r="G185" s="282" t="s">
        <v>27</v>
      </c>
      <c r="H185" s="380">
        <f t="shared" si="37"/>
        <v>1</v>
      </c>
      <c r="I185" s="68" t="str">
        <f>IF(ISNUMBER(G185*E185),E185*G185,"0")</f>
        <v>0</v>
      </c>
      <c r="J185" s="68">
        <f>IF(AND(NOT($M185),$G185="mix"),$E185,0)</f>
        <v>4205454</v>
      </c>
      <c r="K185" s="68" t="b">
        <f>AND(M185,G185&gt;0)</f>
        <v>0</v>
      </c>
      <c r="L185" s="68">
        <f>IF(AND(NOT($M185),$G185="inc"),$E185,0)</f>
        <v>0</v>
      </c>
      <c r="M185" s="68" t="b">
        <f>NOT(ISNUMBER($E185))</f>
        <v>0</v>
      </c>
      <c r="N185" s="68">
        <f>IF(AND(NOT(ISNUMBER(G185)),L185+K185+J185+I185=0),E185,0)</f>
        <v>0</v>
      </c>
    </row>
    <row r="186" spans="4:14" x14ac:dyDescent="0.35">
      <c r="D186" s="41" t="s">
        <v>279</v>
      </c>
      <c r="E186" s="44">
        <v>1000000</v>
      </c>
      <c r="F186" s="42" t="s">
        <v>4</v>
      </c>
      <c r="G186" s="282">
        <v>0</v>
      </c>
      <c r="H186" s="380">
        <f t="shared" si="37"/>
        <v>0</v>
      </c>
      <c r="I186" s="68"/>
      <c r="J186" s="68"/>
      <c r="K186" s="68"/>
      <c r="L186" s="68"/>
      <c r="M186" s="68"/>
      <c r="N186" s="68"/>
    </row>
    <row r="187" spans="4:14" x14ac:dyDescent="0.35">
      <c r="D187" s="41" t="s">
        <v>278</v>
      </c>
      <c r="E187" s="44">
        <v>1300000</v>
      </c>
      <c r="F187" s="42" t="s">
        <v>4</v>
      </c>
      <c r="G187" s="282">
        <v>0</v>
      </c>
      <c r="H187" s="380">
        <f t="shared" si="37"/>
        <v>0</v>
      </c>
      <c r="I187" s="68"/>
      <c r="J187" s="68"/>
      <c r="K187" s="68"/>
      <c r="L187" s="68"/>
      <c r="M187" s="68"/>
      <c r="N187" s="68"/>
    </row>
    <row r="188" spans="4:14" x14ac:dyDescent="0.35">
      <c r="D188" s="41" t="s">
        <v>277</v>
      </c>
      <c r="E188" s="44">
        <v>1900000</v>
      </c>
      <c r="F188" s="42" t="s">
        <v>4</v>
      </c>
      <c r="G188" s="282">
        <v>1</v>
      </c>
      <c r="H188" s="380">
        <f t="shared" si="37"/>
        <v>1</v>
      </c>
      <c r="I188" s="68"/>
      <c r="J188" s="68"/>
      <c r="K188" s="68"/>
      <c r="L188" s="68"/>
      <c r="M188" s="68"/>
      <c r="N188" s="68"/>
    </row>
    <row r="189" spans="4:14" x14ac:dyDescent="0.35">
      <c r="D189" s="11" t="s">
        <v>276</v>
      </c>
      <c r="E189" s="113">
        <v>11539668</v>
      </c>
      <c r="F189" s="42" t="s">
        <v>4</v>
      </c>
      <c r="G189" s="282" t="s">
        <v>27</v>
      </c>
      <c r="H189" s="380">
        <f t="shared" si="37"/>
        <v>1</v>
      </c>
      <c r="I189" s="68" t="str">
        <f>IF(ISNUMBER(G189*E189),E189*G189,"0")</f>
        <v>0</v>
      </c>
      <c r="J189" s="68">
        <f>IF(AND(NOT($M189),$G189="mix"),$E189,0)</f>
        <v>11539668</v>
      </c>
      <c r="K189" s="68" t="b">
        <f>AND(M189,G189&gt;0)</f>
        <v>0</v>
      </c>
      <c r="L189" s="68">
        <f>IF(AND(NOT($M189),$G189="inc"),$E189,0)</f>
        <v>0</v>
      </c>
      <c r="M189" s="68" t="b">
        <f>NOT(ISNUMBER($E189))</f>
        <v>0</v>
      </c>
      <c r="N189" s="68">
        <f>IF(AND(NOT(ISNUMBER(G189)),L189+K189+J189+I189=0),E189,0)</f>
        <v>0</v>
      </c>
    </row>
    <row r="190" spans="4:14" x14ac:dyDescent="0.35">
      <c r="D190" s="41" t="s">
        <v>275</v>
      </c>
      <c r="E190" s="44">
        <v>7997429</v>
      </c>
      <c r="F190" s="42" t="s">
        <v>4</v>
      </c>
      <c r="G190" s="282">
        <v>0</v>
      </c>
      <c r="H190" s="380">
        <f t="shared" si="37"/>
        <v>0</v>
      </c>
      <c r="I190" s="68"/>
      <c r="J190" s="68"/>
      <c r="K190" s="68"/>
      <c r="L190" s="68"/>
      <c r="M190" s="68"/>
      <c r="N190" s="68"/>
    </row>
    <row r="191" spans="4:14" x14ac:dyDescent="0.35">
      <c r="D191" s="41" t="s">
        <v>274</v>
      </c>
      <c r="E191" s="44" t="s">
        <v>119</v>
      </c>
      <c r="F191" s="42" t="s">
        <v>4</v>
      </c>
      <c r="G191" s="282" t="s">
        <v>264</v>
      </c>
      <c r="H191" s="380">
        <f t="shared" si="37"/>
        <v>1</v>
      </c>
      <c r="I191" s="68"/>
      <c r="J191" s="68"/>
      <c r="K191" s="68"/>
      <c r="L191" s="68"/>
      <c r="M191" s="68"/>
      <c r="N191" s="68"/>
    </row>
    <row r="192" spans="4:14" x14ac:dyDescent="0.35">
      <c r="D192" s="41" t="s">
        <v>273</v>
      </c>
      <c r="E192" s="44">
        <v>910000</v>
      </c>
      <c r="F192" s="42" t="s">
        <v>4</v>
      </c>
      <c r="G192" s="282">
        <v>0</v>
      </c>
      <c r="H192" s="380">
        <f t="shared" si="37"/>
        <v>0</v>
      </c>
      <c r="I192" s="68"/>
      <c r="J192" s="68"/>
      <c r="K192" s="68"/>
      <c r="L192" s="68"/>
      <c r="M192" s="68"/>
      <c r="N192" s="68"/>
    </row>
    <row r="193" spans="4:14" x14ac:dyDescent="0.35">
      <c r="D193" s="41" t="s">
        <v>272</v>
      </c>
      <c r="E193" s="44">
        <v>2139239</v>
      </c>
      <c r="F193" s="42" t="s">
        <v>4</v>
      </c>
      <c r="G193" s="282" t="s">
        <v>27</v>
      </c>
      <c r="H193" s="380">
        <f t="shared" si="37"/>
        <v>1</v>
      </c>
      <c r="I193" s="68"/>
      <c r="J193" s="68"/>
      <c r="K193" s="68"/>
      <c r="L193" s="68"/>
      <c r="M193" s="68"/>
      <c r="N193" s="68"/>
    </row>
    <row r="194" spans="4:14" x14ac:dyDescent="0.35">
      <c r="D194" s="41" t="s">
        <v>271</v>
      </c>
      <c r="E194" s="44">
        <v>493000</v>
      </c>
      <c r="F194" s="42" t="s">
        <v>4</v>
      </c>
      <c r="G194" s="282">
        <v>0</v>
      </c>
      <c r="H194" s="380">
        <f t="shared" si="37"/>
        <v>0</v>
      </c>
      <c r="I194" s="68"/>
      <c r="J194" s="68"/>
      <c r="K194" s="68"/>
      <c r="L194" s="68"/>
      <c r="M194" s="68"/>
      <c r="N194" s="68"/>
    </row>
    <row r="195" spans="4:14" x14ac:dyDescent="0.35">
      <c r="D195" s="11" t="s">
        <v>270</v>
      </c>
      <c r="E195" s="113">
        <v>658732</v>
      </c>
      <c r="F195" s="42" t="s">
        <v>4</v>
      </c>
      <c r="G195" s="282">
        <v>0</v>
      </c>
      <c r="H195" s="380">
        <f t="shared" si="37"/>
        <v>0</v>
      </c>
      <c r="I195" s="68">
        <f>IF(ISNUMBER(G195*E195),E195*G195,"0")</f>
        <v>0</v>
      </c>
      <c r="J195" s="68">
        <f>IF(AND(NOT($M195),$G195="mix"),$E195,0)</f>
        <v>0</v>
      </c>
      <c r="K195" s="68" t="b">
        <f>AND(M195,G195&gt;0)</f>
        <v>0</v>
      </c>
      <c r="L195" s="68">
        <f>IF(AND(NOT($M195),$G195="inc"),$E195,0)</f>
        <v>0</v>
      </c>
      <c r="M195" s="68" t="b">
        <f>NOT(ISNUMBER($E195))</f>
        <v>0</v>
      </c>
      <c r="N195" s="68">
        <f>IF(AND(NOT(ISNUMBER(G195)),L195+K195+J195+I195=0),E195,0)</f>
        <v>0</v>
      </c>
    </row>
    <row r="196" spans="4:14" x14ac:dyDescent="0.35">
      <c r="D196" s="11" t="s">
        <v>269</v>
      </c>
      <c r="E196" s="113">
        <v>2049874</v>
      </c>
      <c r="F196" s="42" t="s">
        <v>4</v>
      </c>
      <c r="G196" s="282">
        <v>0</v>
      </c>
      <c r="H196" s="380">
        <f t="shared" si="37"/>
        <v>0</v>
      </c>
      <c r="I196" s="68">
        <f>IF(ISNUMBER(G196*E196),E196*G196,"0")</f>
        <v>0</v>
      </c>
      <c r="J196" s="68">
        <f>IF(AND(NOT($M196),$G196="mix"),$E196,0)</f>
        <v>0</v>
      </c>
      <c r="K196" s="68" t="b">
        <f>AND(M196,G196&gt;0)</f>
        <v>0</v>
      </c>
      <c r="L196" s="68">
        <f>IF(AND(NOT($M196),$G196="inc"),$E196,0)</f>
        <v>0</v>
      </c>
      <c r="M196" s="68" t="b">
        <f>NOT(ISNUMBER($E196))</f>
        <v>0</v>
      </c>
      <c r="N196" s="68">
        <f>IF(AND(NOT(ISNUMBER(G196)),L196+K196+J196+I196=0),E196,0)</f>
        <v>0</v>
      </c>
    </row>
    <row r="197" spans="4:14" x14ac:dyDescent="0.35">
      <c r="D197" s="11" t="s">
        <v>268</v>
      </c>
      <c r="E197" s="113">
        <v>4816500</v>
      </c>
      <c r="F197" s="42" t="s">
        <v>4</v>
      </c>
      <c r="G197" s="282">
        <v>0</v>
      </c>
      <c r="H197" s="380">
        <f t="shared" si="37"/>
        <v>0</v>
      </c>
      <c r="I197" s="68">
        <f>IF(ISNUMBER(G197*E197),E197*G197,"0")</f>
        <v>0</v>
      </c>
      <c r="J197" s="68">
        <f>IF(AND(NOT($M197),$G197="mix"),$E197,0)</f>
        <v>0</v>
      </c>
      <c r="K197" s="68" t="b">
        <f>AND(M197,G197&gt;0)</f>
        <v>0</v>
      </c>
      <c r="L197" s="68">
        <f>IF(AND(NOT($M197),$G197="inc"),$E197,0)</f>
        <v>0</v>
      </c>
      <c r="M197" s="68" t="b">
        <f>NOT(ISNUMBER($E197))</f>
        <v>0</v>
      </c>
      <c r="N197" s="68">
        <f>IF(AND(NOT(ISNUMBER(G197)),L197+K197+J197+I197=0),E197,0)</f>
        <v>0</v>
      </c>
    </row>
    <row r="198" spans="4:14" x14ac:dyDescent="0.35">
      <c r="D198" s="278" t="s">
        <v>96</v>
      </c>
      <c r="E198" s="291">
        <f>E199</f>
        <v>178900000</v>
      </c>
      <c r="F198" s="73"/>
      <c r="G198" s="292"/>
      <c r="H198" s="380">
        <f t="shared" si="37"/>
        <v>0</v>
      </c>
      <c r="I198" s="83">
        <f t="shared" ref="I198:N198" si="52">SUM(I199:I203)</f>
        <v>0</v>
      </c>
      <c r="J198" s="83">
        <f t="shared" si="52"/>
        <v>125900000</v>
      </c>
      <c r="K198" s="83">
        <f t="shared" si="52"/>
        <v>0</v>
      </c>
      <c r="L198" s="83">
        <f t="shared" si="52"/>
        <v>48000000</v>
      </c>
      <c r="M198" s="83">
        <f t="shared" si="52"/>
        <v>0</v>
      </c>
      <c r="N198" s="83">
        <f t="shared" si="52"/>
        <v>0</v>
      </c>
    </row>
    <row r="199" spans="4:14" x14ac:dyDescent="0.35">
      <c r="D199" s="11" t="s">
        <v>267</v>
      </c>
      <c r="E199" s="113">
        <f>SUM(E200:E203)</f>
        <v>178900000</v>
      </c>
      <c r="F199" s="42" t="s">
        <v>4</v>
      </c>
      <c r="G199" s="282"/>
      <c r="H199" s="380">
        <f t="shared" si="37"/>
        <v>0</v>
      </c>
      <c r="I199" s="68"/>
      <c r="J199" s="68"/>
      <c r="K199" s="68"/>
      <c r="L199" s="68"/>
      <c r="M199" s="68"/>
      <c r="N199" s="68"/>
    </row>
    <row r="200" spans="4:14" x14ac:dyDescent="0.35">
      <c r="D200" s="42" t="s">
        <v>266</v>
      </c>
      <c r="E200" s="44">
        <v>80900000</v>
      </c>
      <c r="F200" s="42" t="s">
        <v>4</v>
      </c>
      <c r="G200" s="282" t="s">
        <v>27</v>
      </c>
      <c r="H200" s="380">
        <f t="shared" si="37"/>
        <v>1</v>
      </c>
      <c r="I200" s="68" t="str">
        <f>IF(ISNUMBER(G200*E200),E200*G200,"0")</f>
        <v>0</v>
      </c>
      <c r="J200" s="68">
        <f>IF(AND(NOT($M200),$G200="mix"),$E200,0)</f>
        <v>80900000</v>
      </c>
      <c r="K200" s="68" t="b">
        <f>AND(M200,G200&gt;0)</f>
        <v>0</v>
      </c>
      <c r="L200" s="68">
        <f>IF(AND(NOT($M200),$G200="inc"),$E200,0)</f>
        <v>0</v>
      </c>
      <c r="M200" s="68" t="b">
        <f>NOT(ISNUMBER($E200))</f>
        <v>0</v>
      </c>
      <c r="N200" s="68">
        <f>IF(AND(NOT(ISNUMBER(G200)),L200+K200+J200+I200=0),E200,0)</f>
        <v>0</v>
      </c>
    </row>
    <row r="201" spans="4:14" x14ac:dyDescent="0.35">
      <c r="D201" s="42" t="s">
        <v>265</v>
      </c>
      <c r="E201" s="44">
        <v>48000000</v>
      </c>
      <c r="F201" s="42" t="s">
        <v>4</v>
      </c>
      <c r="G201" s="282" t="s">
        <v>264</v>
      </c>
      <c r="H201" s="380">
        <f t="shared" ref="H201:H264" si="53">+IF(G201&lt;&gt;0, 1,0)</f>
        <v>1</v>
      </c>
      <c r="I201" s="68" t="str">
        <f>IF(ISNUMBER(G201*E201),E201*G201,"0")</f>
        <v>0</v>
      </c>
      <c r="J201" s="68">
        <f>IF(AND(NOT($M201),$G201="mix"),$E201,0)</f>
        <v>0</v>
      </c>
      <c r="K201" s="68" t="b">
        <f>AND(M201,G201&gt;0)</f>
        <v>0</v>
      </c>
      <c r="L201" s="68">
        <f>IF(AND(NOT($M201),$G201="inc"),$E201,0)</f>
        <v>48000000</v>
      </c>
      <c r="M201" s="68" t="b">
        <f>NOT(ISNUMBER($E201))</f>
        <v>0</v>
      </c>
      <c r="N201" s="68">
        <f>IF(AND(NOT(ISNUMBER(G201)),L201+K201+J201+I201=0),E201,0)</f>
        <v>0</v>
      </c>
    </row>
    <row r="202" spans="4:14" x14ac:dyDescent="0.35">
      <c r="D202" s="42" t="s">
        <v>263</v>
      </c>
      <c r="E202" s="44">
        <v>45000000</v>
      </c>
      <c r="F202" s="42" t="s">
        <v>4</v>
      </c>
      <c r="G202" s="282" t="s">
        <v>27</v>
      </c>
      <c r="H202" s="380">
        <f t="shared" si="53"/>
        <v>1</v>
      </c>
      <c r="I202" s="68" t="str">
        <f>IF(ISNUMBER(G202*E202),E202*G202,"0")</f>
        <v>0</v>
      </c>
      <c r="J202" s="68">
        <f>IF(AND(NOT($M202),$G202="mix"),$E202,0)</f>
        <v>45000000</v>
      </c>
      <c r="K202" s="68" t="b">
        <f>AND(M202,G202&gt;0)</f>
        <v>0</v>
      </c>
      <c r="L202" s="68">
        <f>IF(AND(NOT($M202),$G202="inc"),$E202,0)</f>
        <v>0</v>
      </c>
      <c r="M202" s="68" t="b">
        <f>NOT(ISNUMBER($E202))</f>
        <v>0</v>
      </c>
      <c r="N202" s="68">
        <f>IF(AND(NOT(ISNUMBER(G202)),L202+K202+J202+I202=0),E202,0)</f>
        <v>0</v>
      </c>
    </row>
    <row r="203" spans="4:14" x14ac:dyDescent="0.35">
      <c r="D203" s="42" t="s">
        <v>262</v>
      </c>
      <c r="E203" s="44">
        <v>5000000</v>
      </c>
      <c r="F203" s="42" t="s">
        <v>4</v>
      </c>
      <c r="G203" s="282">
        <v>0</v>
      </c>
      <c r="H203" s="380">
        <f t="shared" si="53"/>
        <v>0</v>
      </c>
      <c r="I203" s="68">
        <f>IF(ISNUMBER(G203*E203),E203*G203,"0")</f>
        <v>0</v>
      </c>
      <c r="J203" s="68">
        <f>IF(AND(NOT($M203),$G203="mix"),$E203,0)</f>
        <v>0</v>
      </c>
      <c r="K203" s="68" t="b">
        <f>AND(M203,G203&gt;0)</f>
        <v>0</v>
      </c>
      <c r="L203" s="68">
        <f>IF(AND(NOT($M203),$G203="inc"),$E203,0)</f>
        <v>0</v>
      </c>
      <c r="M203" s="68" t="b">
        <f>NOT(ISNUMBER($E203))</f>
        <v>0</v>
      </c>
      <c r="N203" s="68">
        <f>IF(AND(NOT(ISNUMBER(G203)),L203+K203+J203+I203=0),E203,0)</f>
        <v>0</v>
      </c>
    </row>
    <row r="204" spans="4:14" x14ac:dyDescent="0.35">
      <c r="D204" s="278" t="s">
        <v>97</v>
      </c>
      <c r="E204" s="291">
        <f>SUM(E205:E207)</f>
        <v>1122000000</v>
      </c>
      <c r="F204" s="73"/>
      <c r="G204" s="292"/>
      <c r="H204" s="380">
        <f t="shared" si="53"/>
        <v>0</v>
      </c>
      <c r="I204" s="83">
        <f t="shared" ref="I204:N204" si="54">SUM(I205:I207)</f>
        <v>0</v>
      </c>
      <c r="J204" s="83">
        <f t="shared" si="54"/>
        <v>0</v>
      </c>
      <c r="K204" s="83">
        <f t="shared" si="54"/>
        <v>0</v>
      </c>
      <c r="L204" s="83">
        <f t="shared" si="54"/>
        <v>0</v>
      </c>
      <c r="M204" s="83">
        <f t="shared" si="54"/>
        <v>0</v>
      </c>
      <c r="N204" s="83">
        <f t="shared" si="54"/>
        <v>0</v>
      </c>
    </row>
    <row r="205" spans="4:14" x14ac:dyDescent="0.35">
      <c r="D205" s="11" t="s">
        <v>261</v>
      </c>
      <c r="E205" s="113">
        <v>489526749</v>
      </c>
      <c r="F205" s="42" t="s">
        <v>4</v>
      </c>
      <c r="G205" s="282">
        <v>0</v>
      </c>
      <c r="H205" s="380">
        <f t="shared" si="53"/>
        <v>0</v>
      </c>
      <c r="I205" s="68">
        <f>IF(ISNUMBER(G205*E205),E205*G205,"0")</f>
        <v>0</v>
      </c>
      <c r="J205" s="68">
        <f>IF(AND(NOT($M205),$G205="mix"),$E205,0)</f>
        <v>0</v>
      </c>
      <c r="K205" s="68" t="b">
        <f>AND(M205,G205&gt;0)</f>
        <v>0</v>
      </c>
      <c r="L205" s="68">
        <f>IF(AND(NOT($M205),$G205="inc"),$E205,0)</f>
        <v>0</v>
      </c>
      <c r="M205" s="68" t="b">
        <f>NOT(ISNUMBER($E205))</f>
        <v>0</v>
      </c>
      <c r="N205" s="68">
        <f>IF(AND(NOT(ISNUMBER(G205)),L205+K205+J205+I205=0),E205,0)</f>
        <v>0</v>
      </c>
    </row>
    <row r="206" spans="4:14" x14ac:dyDescent="0.35">
      <c r="D206" s="11" t="s">
        <v>260</v>
      </c>
      <c r="E206" s="113">
        <v>199032922</v>
      </c>
      <c r="F206" s="42" t="s">
        <v>4</v>
      </c>
      <c r="G206" s="282">
        <v>0</v>
      </c>
      <c r="H206" s="380">
        <f t="shared" si="53"/>
        <v>0</v>
      </c>
      <c r="I206" s="68">
        <f>IF(ISNUMBER(G206*E206),E206*G206,"0")</f>
        <v>0</v>
      </c>
      <c r="J206" s="68">
        <f>IF(AND(NOT($M206),$G206="mix"),$E206,0)</f>
        <v>0</v>
      </c>
      <c r="K206" s="68" t="b">
        <f>AND(M206,G206&gt;0)</f>
        <v>0</v>
      </c>
      <c r="L206" s="68">
        <f>IF(AND(NOT($M206),$G206="inc"),$E206,0)</f>
        <v>0</v>
      </c>
      <c r="M206" s="68" t="b">
        <f>NOT(ISNUMBER($E206))</f>
        <v>0</v>
      </c>
      <c r="N206" s="68">
        <f>IF(AND(NOT(ISNUMBER(G206)),L206+K206+J206+I206=0),E206,0)</f>
        <v>0</v>
      </c>
    </row>
    <row r="207" spans="4:14" x14ac:dyDescent="0.35">
      <c r="D207" s="11" t="s">
        <v>259</v>
      </c>
      <c r="E207" s="113">
        <v>433440329</v>
      </c>
      <c r="F207" s="42" t="s">
        <v>4</v>
      </c>
      <c r="G207" s="282">
        <v>0</v>
      </c>
      <c r="H207" s="380">
        <f t="shared" si="53"/>
        <v>0</v>
      </c>
      <c r="I207" s="68">
        <f>IF(ISNUMBER(G207*E207),E207*G207,"0")</f>
        <v>0</v>
      </c>
      <c r="J207" s="68">
        <f>IF(AND(NOT($M207),$G207="mix"),$E207,0)</f>
        <v>0</v>
      </c>
      <c r="K207" s="68" t="b">
        <f>AND(M207,G207&gt;0)</f>
        <v>0</v>
      </c>
      <c r="L207" s="68">
        <f>IF(AND(NOT($M207),$G207="inc"),$E207,0)</f>
        <v>0</v>
      </c>
      <c r="M207" s="68" t="b">
        <f>NOT(ISNUMBER($E207))</f>
        <v>0</v>
      </c>
      <c r="N207" s="68">
        <f>IF(AND(NOT(ISNUMBER(G207)),L207+K207+J207+I207=0),E207,0)</f>
        <v>0</v>
      </c>
    </row>
    <row r="208" spans="4:14" x14ac:dyDescent="0.35">
      <c r="D208" s="278" t="s">
        <v>258</v>
      </c>
      <c r="E208" s="291">
        <f>E209+E210</f>
        <v>2093300000</v>
      </c>
      <c r="F208" s="73"/>
      <c r="G208" s="292"/>
      <c r="H208" s="380">
        <f t="shared" si="53"/>
        <v>0</v>
      </c>
      <c r="I208" s="291">
        <f t="shared" ref="I208:N208" si="55">I209+I210</f>
        <v>0</v>
      </c>
      <c r="J208" s="291">
        <f t="shared" si="55"/>
        <v>2093300000</v>
      </c>
      <c r="K208" s="291">
        <f t="shared" si="55"/>
        <v>0</v>
      </c>
      <c r="L208" s="291">
        <f t="shared" si="55"/>
        <v>0</v>
      </c>
      <c r="M208" s="291">
        <f t="shared" si="55"/>
        <v>0</v>
      </c>
      <c r="N208" s="291">
        <f t="shared" si="55"/>
        <v>0</v>
      </c>
    </row>
    <row r="209" spans="4:14" x14ac:dyDescent="0.35">
      <c r="D209" s="294" t="s">
        <v>257</v>
      </c>
      <c r="E209" s="44">
        <v>2084200000</v>
      </c>
      <c r="F209" s="42" t="s">
        <v>4</v>
      </c>
      <c r="G209" s="282" t="s">
        <v>256</v>
      </c>
      <c r="H209" s="380">
        <f t="shared" si="53"/>
        <v>1</v>
      </c>
      <c r="I209" s="68" t="str">
        <f>IF(ISNUMBER(G209*E209),E209*G209,"0")</f>
        <v>0</v>
      </c>
      <c r="J209" s="68">
        <f>IF(AND(NOT($M209),$G209="mix"),$E209,0)</f>
        <v>2084200000</v>
      </c>
      <c r="K209" s="68" t="b">
        <f>AND(M209,G209&gt;0)</f>
        <v>0</v>
      </c>
      <c r="L209" s="68">
        <f>IF(AND(NOT($M209),$G209="inc"),$E209,0)</f>
        <v>0</v>
      </c>
      <c r="M209" s="68" t="b">
        <f>NOT(ISNUMBER($E209))</f>
        <v>0</v>
      </c>
      <c r="N209" s="68">
        <f>IF(AND(NOT(ISNUMBER(G209)),L209+K209+J209+I209=0),E209,0)</f>
        <v>0</v>
      </c>
    </row>
    <row r="210" spans="4:14" ht="31.5" x14ac:dyDescent="0.35">
      <c r="D210" s="294" t="s">
        <v>255</v>
      </c>
      <c r="E210" s="44">
        <v>9100000</v>
      </c>
      <c r="F210" s="42" t="s">
        <v>254</v>
      </c>
      <c r="G210" s="282" t="s">
        <v>27</v>
      </c>
      <c r="H210" s="380">
        <f t="shared" si="53"/>
        <v>1</v>
      </c>
      <c r="I210" s="68" t="str">
        <f>IF(ISNUMBER(G210*E210),E210*G210,"0")</f>
        <v>0</v>
      </c>
      <c r="J210" s="68">
        <f>IF(AND(NOT($M210),$G210="mix"),$E210,0)</f>
        <v>9100000</v>
      </c>
      <c r="K210" s="68" t="b">
        <f>AND(M210,G210&gt;0)</f>
        <v>0</v>
      </c>
      <c r="L210" s="68">
        <f>IF(AND(NOT($M210),$G210="inc"),$E210,0)</f>
        <v>0</v>
      </c>
      <c r="M210" s="68" t="b">
        <f>NOT(ISNUMBER($E210))</f>
        <v>0</v>
      </c>
      <c r="N210" s="68">
        <f>IF(AND(NOT(ISNUMBER(G210)),L210+K210+J210+I210=0),E210,0)</f>
        <v>0</v>
      </c>
    </row>
    <row r="211" spans="4:14" x14ac:dyDescent="0.35">
      <c r="D211" s="278" t="s">
        <v>36</v>
      </c>
      <c r="E211" s="291">
        <f>SUMIF(E214:E308,"&lt;&gt;&amp;#34;")</f>
        <v>15170000000</v>
      </c>
      <c r="F211" s="73" t="s">
        <v>36</v>
      </c>
      <c r="G211" s="292"/>
      <c r="H211" s="380">
        <f t="shared" si="53"/>
        <v>0</v>
      </c>
      <c r="I211" s="83">
        <f>SUMIF(I214:I308,"&lt;&gt;&amp;#34;")</f>
        <v>961000000</v>
      </c>
      <c r="J211" s="83">
        <f>SUMIF(J214:J308,"&lt;&gt;&amp;#34;")</f>
        <v>3286000000</v>
      </c>
      <c r="K211" s="83">
        <f>COUNTIF(K214:K308,"VRAI")</f>
        <v>1</v>
      </c>
      <c r="L211" s="83">
        <f>SUMIF(L214:L308,"&lt;&gt;&amp;#34;")</f>
        <v>0</v>
      </c>
      <c r="M211" s="83">
        <f>COUNTIF(M214:M308,"VRAI")</f>
        <v>27</v>
      </c>
      <c r="N211" s="83">
        <f>SUMIF(N214:N308,"&lt;&gt;&amp;#34;")</f>
        <v>0</v>
      </c>
    </row>
    <row r="212" spans="4:14" x14ac:dyDescent="0.35">
      <c r="D212" s="295" t="s">
        <v>253</v>
      </c>
      <c r="E212" s="296">
        <f>SUM(E214:E268)</f>
        <v>10205000000</v>
      </c>
      <c r="F212" s="297"/>
      <c r="G212" s="298"/>
      <c r="H212" s="380">
        <f t="shared" si="53"/>
        <v>0</v>
      </c>
      <c r="I212" s="296">
        <f t="shared" ref="I212:N212" si="56">SUM(I214:I268)</f>
        <v>912800000</v>
      </c>
      <c r="J212" s="296">
        <f t="shared" si="56"/>
        <v>400000000</v>
      </c>
      <c r="K212" s="296">
        <f t="shared" si="56"/>
        <v>0</v>
      </c>
      <c r="L212" s="296">
        <f t="shared" si="56"/>
        <v>0</v>
      </c>
      <c r="M212" s="296">
        <f t="shared" si="56"/>
        <v>0</v>
      </c>
      <c r="N212" s="296">
        <f t="shared" si="56"/>
        <v>0</v>
      </c>
    </row>
    <row r="213" spans="4:14" x14ac:dyDescent="0.35">
      <c r="D213" s="295" t="s">
        <v>103</v>
      </c>
      <c r="E213" s="296"/>
      <c r="F213" s="297"/>
      <c r="G213" s="298"/>
      <c r="H213" s="380">
        <f t="shared" si="53"/>
        <v>0</v>
      </c>
      <c r="I213" s="299"/>
      <c r="J213" s="299"/>
      <c r="K213" s="299"/>
      <c r="L213" s="299"/>
      <c r="M213" s="299"/>
      <c r="N213" s="299"/>
    </row>
    <row r="214" spans="4:14" ht="54" x14ac:dyDescent="0.35">
      <c r="D214" s="39" t="s">
        <v>252</v>
      </c>
      <c r="E214" s="38" t="s">
        <v>119</v>
      </c>
      <c r="F214" s="1">
        <v>150210</v>
      </c>
      <c r="G214" s="282">
        <v>0</v>
      </c>
      <c r="H214" s="380">
        <f t="shared" si="53"/>
        <v>0</v>
      </c>
      <c r="I214" s="68" t="str">
        <f t="shared" ref="I214:I258" si="57">IF(ISNUMBER(G214*E214),E214*G214,"0")</f>
        <v>0</v>
      </c>
      <c r="J214" s="68">
        <f t="shared" ref="J214:J258" si="58">IF(AND(NOT($M214),$G214="mix"),$E214,0)</f>
        <v>0</v>
      </c>
      <c r="K214" s="68" t="b">
        <f t="shared" ref="K214:K258" si="59">AND(M214,G214&gt;0)</f>
        <v>0</v>
      </c>
      <c r="L214" s="68">
        <f t="shared" ref="L214:L258" si="60">IF(AND(NOT($M214),$G214="inc"),$E214,0)</f>
        <v>0</v>
      </c>
      <c r="M214" s="68" t="b">
        <f t="shared" ref="M214:M258" si="61">NOT(ISNUMBER($E214))</f>
        <v>1</v>
      </c>
      <c r="N214" s="68">
        <f t="shared" ref="N214:N258" si="62">IF(AND(NOT(ISNUMBER(G214)),L214+K214+J214+I214=0),E214,0)</f>
        <v>0</v>
      </c>
    </row>
    <row r="215" spans="4:14" ht="90" x14ac:dyDescent="0.35">
      <c r="D215" s="39" t="s">
        <v>251</v>
      </c>
      <c r="E215" s="38" t="s">
        <v>119</v>
      </c>
      <c r="F215" s="1">
        <v>530101</v>
      </c>
      <c r="G215" s="282">
        <v>0</v>
      </c>
      <c r="H215" s="380">
        <f t="shared" si="53"/>
        <v>0</v>
      </c>
      <c r="I215" s="68" t="str">
        <f t="shared" si="57"/>
        <v>0</v>
      </c>
      <c r="J215" s="68">
        <f t="shared" si="58"/>
        <v>0</v>
      </c>
      <c r="K215" s="68" t="b">
        <f t="shared" si="59"/>
        <v>0</v>
      </c>
      <c r="L215" s="68">
        <f t="shared" si="60"/>
        <v>0</v>
      </c>
      <c r="M215" s="68" t="b">
        <f t="shared" si="61"/>
        <v>1</v>
      </c>
      <c r="N215" s="68">
        <f t="shared" si="62"/>
        <v>0</v>
      </c>
    </row>
    <row r="216" spans="4:14" ht="54" x14ac:dyDescent="0.35">
      <c r="D216" s="39" t="s">
        <v>250</v>
      </c>
      <c r="E216" s="38">
        <v>6000000</v>
      </c>
      <c r="F216" s="1">
        <v>530207</v>
      </c>
      <c r="G216" s="282">
        <v>0</v>
      </c>
      <c r="H216" s="380">
        <f t="shared" si="53"/>
        <v>0</v>
      </c>
      <c r="I216" s="68">
        <f t="shared" si="57"/>
        <v>0</v>
      </c>
      <c r="J216" s="68">
        <f t="shared" si="58"/>
        <v>0</v>
      </c>
      <c r="K216" s="68" t="b">
        <f t="shared" si="59"/>
        <v>0</v>
      </c>
      <c r="L216" s="68">
        <f t="shared" si="60"/>
        <v>0</v>
      </c>
      <c r="M216" s="68" t="b">
        <f t="shared" si="61"/>
        <v>0</v>
      </c>
      <c r="N216" s="68">
        <f t="shared" si="62"/>
        <v>0</v>
      </c>
    </row>
    <row r="217" spans="4:14" x14ac:dyDescent="0.35">
      <c r="D217" s="39" t="s">
        <v>249</v>
      </c>
      <c r="E217" s="38">
        <v>102000000</v>
      </c>
      <c r="F217" s="1">
        <v>210321</v>
      </c>
      <c r="G217" s="282">
        <v>0</v>
      </c>
      <c r="H217" s="380">
        <f t="shared" si="53"/>
        <v>0</v>
      </c>
      <c r="I217" s="68">
        <f t="shared" si="57"/>
        <v>0</v>
      </c>
      <c r="J217" s="68">
        <f t="shared" si="58"/>
        <v>0</v>
      </c>
      <c r="K217" s="68" t="b">
        <f t="shared" si="59"/>
        <v>0</v>
      </c>
      <c r="L217" s="68">
        <f t="shared" si="60"/>
        <v>0</v>
      </c>
      <c r="M217" s="68" t="b">
        <f t="shared" si="61"/>
        <v>0</v>
      </c>
      <c r="N217" s="68">
        <f t="shared" si="62"/>
        <v>0</v>
      </c>
    </row>
    <row r="218" spans="4:14" x14ac:dyDescent="0.35">
      <c r="D218" s="39" t="s">
        <v>248</v>
      </c>
      <c r="E218" s="38">
        <v>53000000</v>
      </c>
      <c r="F218" s="1">
        <v>110236</v>
      </c>
      <c r="G218" s="282">
        <v>0</v>
      </c>
      <c r="H218" s="380">
        <f t="shared" si="53"/>
        <v>0</v>
      </c>
      <c r="I218" s="68">
        <f t="shared" si="57"/>
        <v>0</v>
      </c>
      <c r="J218" s="68">
        <f t="shared" si="58"/>
        <v>0</v>
      </c>
      <c r="K218" s="68" t="b">
        <f t="shared" si="59"/>
        <v>0</v>
      </c>
      <c r="L218" s="68">
        <f t="shared" si="60"/>
        <v>0</v>
      </c>
      <c r="M218" s="68" t="b">
        <f t="shared" si="61"/>
        <v>0</v>
      </c>
      <c r="N218" s="68">
        <f t="shared" si="62"/>
        <v>0</v>
      </c>
    </row>
    <row r="219" spans="4:14" x14ac:dyDescent="0.35">
      <c r="D219" s="39" t="s">
        <v>247</v>
      </c>
      <c r="E219" s="38">
        <v>593000000</v>
      </c>
      <c r="F219" s="1">
        <v>210313</v>
      </c>
      <c r="G219" s="282">
        <v>0.35</v>
      </c>
      <c r="H219" s="380">
        <f t="shared" si="53"/>
        <v>1</v>
      </c>
      <c r="I219" s="68">
        <f t="shared" si="57"/>
        <v>207550000</v>
      </c>
      <c r="J219" s="68">
        <f t="shared" si="58"/>
        <v>0</v>
      </c>
      <c r="K219" s="68" t="b">
        <f t="shared" si="59"/>
        <v>0</v>
      </c>
      <c r="L219" s="68">
        <f t="shared" si="60"/>
        <v>0</v>
      </c>
      <c r="M219" s="68" t="b">
        <f t="shared" si="61"/>
        <v>0</v>
      </c>
      <c r="N219" s="68">
        <f t="shared" si="62"/>
        <v>0</v>
      </c>
    </row>
    <row r="220" spans="4:14" ht="36" x14ac:dyDescent="0.35">
      <c r="D220" s="39" t="s">
        <v>246</v>
      </c>
      <c r="E220" s="38">
        <v>18000000</v>
      </c>
      <c r="F220" s="1">
        <v>130208</v>
      </c>
      <c r="G220" s="282">
        <v>0.2</v>
      </c>
      <c r="H220" s="380">
        <f t="shared" si="53"/>
        <v>1</v>
      </c>
      <c r="I220" s="68">
        <f t="shared" si="57"/>
        <v>3600000</v>
      </c>
      <c r="J220" s="68">
        <f t="shared" si="58"/>
        <v>0</v>
      </c>
      <c r="K220" s="68" t="b">
        <f t="shared" si="59"/>
        <v>0</v>
      </c>
      <c r="L220" s="68">
        <f t="shared" si="60"/>
        <v>0</v>
      </c>
      <c r="M220" s="68" t="b">
        <f t="shared" si="61"/>
        <v>0</v>
      </c>
      <c r="N220" s="68">
        <f t="shared" si="62"/>
        <v>0</v>
      </c>
    </row>
    <row r="221" spans="4:14" ht="54" x14ac:dyDescent="0.35">
      <c r="D221" s="39" t="s">
        <v>245</v>
      </c>
      <c r="E221" s="38">
        <v>1000000</v>
      </c>
      <c r="F221" s="1">
        <v>130209</v>
      </c>
      <c r="G221" s="282">
        <v>1</v>
      </c>
      <c r="H221" s="380">
        <f t="shared" si="53"/>
        <v>1</v>
      </c>
      <c r="I221" s="68">
        <f t="shared" si="57"/>
        <v>1000000</v>
      </c>
      <c r="J221" s="68">
        <f t="shared" si="58"/>
        <v>0</v>
      </c>
      <c r="K221" s="68" t="b">
        <f t="shared" si="59"/>
        <v>0</v>
      </c>
      <c r="L221" s="68">
        <f t="shared" si="60"/>
        <v>0</v>
      </c>
      <c r="M221" s="68" t="b">
        <f t="shared" si="61"/>
        <v>0</v>
      </c>
      <c r="N221" s="68">
        <f t="shared" si="62"/>
        <v>0</v>
      </c>
    </row>
    <row r="222" spans="4:14" x14ac:dyDescent="0.35">
      <c r="D222" s="39" t="s">
        <v>244</v>
      </c>
      <c r="E222" s="38">
        <v>20000000</v>
      </c>
      <c r="F222" s="1">
        <v>130204</v>
      </c>
      <c r="G222" s="282">
        <v>0.2</v>
      </c>
      <c r="H222" s="380">
        <f t="shared" si="53"/>
        <v>1</v>
      </c>
      <c r="I222" s="68">
        <f t="shared" si="57"/>
        <v>4000000</v>
      </c>
      <c r="J222" s="68">
        <f t="shared" si="58"/>
        <v>0</v>
      </c>
      <c r="K222" s="68" t="b">
        <f t="shared" si="59"/>
        <v>0</v>
      </c>
      <c r="L222" s="68">
        <f t="shared" si="60"/>
        <v>0</v>
      </c>
      <c r="M222" s="68" t="b">
        <f t="shared" si="61"/>
        <v>0</v>
      </c>
      <c r="N222" s="68">
        <f t="shared" si="62"/>
        <v>0</v>
      </c>
    </row>
    <row r="223" spans="4:14" x14ac:dyDescent="0.35">
      <c r="D223" s="39" t="s">
        <v>243</v>
      </c>
      <c r="E223" s="38" t="s">
        <v>119</v>
      </c>
      <c r="F223" s="1">
        <v>130201</v>
      </c>
      <c r="G223" s="282">
        <v>0</v>
      </c>
      <c r="H223" s="380">
        <f t="shared" si="53"/>
        <v>0</v>
      </c>
      <c r="I223" s="68" t="str">
        <f t="shared" si="57"/>
        <v>0</v>
      </c>
      <c r="J223" s="68">
        <f t="shared" si="58"/>
        <v>0</v>
      </c>
      <c r="K223" s="68" t="b">
        <f t="shared" si="59"/>
        <v>0</v>
      </c>
      <c r="L223" s="68">
        <f t="shared" si="60"/>
        <v>0</v>
      </c>
      <c r="M223" s="68" t="b">
        <f t="shared" si="61"/>
        <v>1</v>
      </c>
      <c r="N223" s="68">
        <f t="shared" si="62"/>
        <v>0</v>
      </c>
    </row>
    <row r="224" spans="4:14" ht="36" x14ac:dyDescent="0.35">
      <c r="D224" s="39" t="s">
        <v>242</v>
      </c>
      <c r="E224" s="38">
        <v>2000000</v>
      </c>
      <c r="F224" s="1">
        <v>130217</v>
      </c>
      <c r="G224" s="282">
        <v>0</v>
      </c>
      <c r="H224" s="380">
        <f t="shared" si="53"/>
        <v>0</v>
      </c>
      <c r="I224" s="68">
        <f t="shared" si="57"/>
        <v>0</v>
      </c>
      <c r="J224" s="68">
        <f t="shared" si="58"/>
        <v>0</v>
      </c>
      <c r="K224" s="68" t="b">
        <f t="shared" si="59"/>
        <v>0</v>
      </c>
      <c r="L224" s="68">
        <f t="shared" si="60"/>
        <v>0</v>
      </c>
      <c r="M224" s="68" t="b">
        <f t="shared" si="61"/>
        <v>0</v>
      </c>
      <c r="N224" s="68">
        <f t="shared" si="62"/>
        <v>0</v>
      </c>
    </row>
    <row r="225" spans="4:14" ht="36" x14ac:dyDescent="0.35">
      <c r="D225" s="39" t="s">
        <v>241</v>
      </c>
      <c r="E225" s="38">
        <v>1000000</v>
      </c>
      <c r="F225" s="1">
        <v>100114</v>
      </c>
      <c r="G225" s="282">
        <v>0</v>
      </c>
      <c r="H225" s="380">
        <f t="shared" si="53"/>
        <v>0</v>
      </c>
      <c r="I225" s="68">
        <f t="shared" si="57"/>
        <v>0</v>
      </c>
      <c r="J225" s="68">
        <f t="shared" si="58"/>
        <v>0</v>
      </c>
      <c r="K225" s="68" t="b">
        <f t="shared" si="59"/>
        <v>0</v>
      </c>
      <c r="L225" s="68">
        <f t="shared" si="60"/>
        <v>0</v>
      </c>
      <c r="M225" s="68" t="b">
        <f t="shared" si="61"/>
        <v>0</v>
      </c>
      <c r="N225" s="68">
        <f t="shared" si="62"/>
        <v>0</v>
      </c>
    </row>
    <row r="226" spans="4:14" x14ac:dyDescent="0.35">
      <c r="D226" s="39" t="s">
        <v>240</v>
      </c>
      <c r="E226" s="38" t="s">
        <v>119</v>
      </c>
      <c r="F226" s="1">
        <v>230101</v>
      </c>
      <c r="G226" s="282">
        <v>0</v>
      </c>
      <c r="H226" s="380">
        <f t="shared" si="53"/>
        <v>0</v>
      </c>
      <c r="I226" s="68" t="str">
        <f t="shared" si="57"/>
        <v>0</v>
      </c>
      <c r="J226" s="68">
        <f t="shared" si="58"/>
        <v>0</v>
      </c>
      <c r="K226" s="68" t="b">
        <f t="shared" si="59"/>
        <v>0</v>
      </c>
      <c r="L226" s="68">
        <f t="shared" si="60"/>
        <v>0</v>
      </c>
      <c r="M226" s="68" t="b">
        <f t="shared" si="61"/>
        <v>1</v>
      </c>
      <c r="N226" s="68">
        <f t="shared" si="62"/>
        <v>0</v>
      </c>
    </row>
    <row r="227" spans="4:14" ht="36" x14ac:dyDescent="0.35">
      <c r="D227" s="39" t="s">
        <v>239</v>
      </c>
      <c r="E227" s="38">
        <v>42000000</v>
      </c>
      <c r="F227" s="1">
        <v>130215</v>
      </c>
      <c r="G227" s="282">
        <v>0</v>
      </c>
      <c r="H227" s="380">
        <f t="shared" si="53"/>
        <v>0</v>
      </c>
      <c r="I227" s="68">
        <f t="shared" si="57"/>
        <v>0</v>
      </c>
      <c r="J227" s="68">
        <f t="shared" si="58"/>
        <v>0</v>
      </c>
      <c r="K227" s="68" t="b">
        <f t="shared" si="59"/>
        <v>0</v>
      </c>
      <c r="L227" s="68">
        <f t="shared" si="60"/>
        <v>0</v>
      </c>
      <c r="M227" s="68" t="b">
        <f t="shared" si="61"/>
        <v>0</v>
      </c>
      <c r="N227" s="68">
        <f t="shared" si="62"/>
        <v>0</v>
      </c>
    </row>
    <row r="228" spans="4:14" ht="36" x14ac:dyDescent="0.35">
      <c r="D228" s="39" t="s">
        <v>238</v>
      </c>
      <c r="E228" s="38">
        <v>20000000</v>
      </c>
      <c r="F228" s="1">
        <v>130214</v>
      </c>
      <c r="G228" s="282">
        <v>0.2</v>
      </c>
      <c r="H228" s="380">
        <f t="shared" si="53"/>
        <v>1</v>
      </c>
      <c r="I228" s="68">
        <f t="shared" si="57"/>
        <v>4000000</v>
      </c>
      <c r="J228" s="68">
        <f t="shared" si="58"/>
        <v>0</v>
      </c>
      <c r="K228" s="68" t="b">
        <f t="shared" si="59"/>
        <v>0</v>
      </c>
      <c r="L228" s="68">
        <f t="shared" si="60"/>
        <v>0</v>
      </c>
      <c r="M228" s="68" t="b">
        <f t="shared" si="61"/>
        <v>0</v>
      </c>
      <c r="N228" s="68">
        <f t="shared" si="62"/>
        <v>0</v>
      </c>
    </row>
    <row r="229" spans="4:14" ht="36" x14ac:dyDescent="0.35">
      <c r="D229" s="39" t="s">
        <v>237</v>
      </c>
      <c r="E229" s="38">
        <v>22000000</v>
      </c>
      <c r="F229" s="1">
        <v>130218</v>
      </c>
      <c r="G229" s="282">
        <v>0</v>
      </c>
      <c r="H229" s="380">
        <f t="shared" si="53"/>
        <v>0</v>
      </c>
      <c r="I229" s="68">
        <f t="shared" si="57"/>
        <v>0</v>
      </c>
      <c r="J229" s="68">
        <f t="shared" si="58"/>
        <v>0</v>
      </c>
      <c r="K229" s="68" t="b">
        <f t="shared" si="59"/>
        <v>0</v>
      </c>
      <c r="L229" s="68">
        <f t="shared" si="60"/>
        <v>0</v>
      </c>
      <c r="M229" s="68" t="b">
        <f t="shared" si="61"/>
        <v>0</v>
      </c>
      <c r="N229" s="68">
        <f t="shared" si="62"/>
        <v>0</v>
      </c>
    </row>
    <row r="230" spans="4:14" ht="36" x14ac:dyDescent="0.35">
      <c r="D230" s="39" t="s">
        <v>236</v>
      </c>
      <c r="E230" s="38">
        <v>6000000</v>
      </c>
      <c r="F230" s="1">
        <v>130211</v>
      </c>
      <c r="G230" s="282">
        <v>0.2</v>
      </c>
      <c r="H230" s="380">
        <f t="shared" si="53"/>
        <v>1</v>
      </c>
      <c r="I230" s="68">
        <f t="shared" si="57"/>
        <v>1200000</v>
      </c>
      <c r="J230" s="68">
        <f t="shared" si="58"/>
        <v>0</v>
      </c>
      <c r="K230" s="68" t="b">
        <f t="shared" si="59"/>
        <v>0</v>
      </c>
      <c r="L230" s="68">
        <f t="shared" si="60"/>
        <v>0</v>
      </c>
      <c r="M230" s="68" t="b">
        <f t="shared" si="61"/>
        <v>0</v>
      </c>
      <c r="N230" s="68">
        <f t="shared" si="62"/>
        <v>0</v>
      </c>
    </row>
    <row r="231" spans="4:14" ht="36" x14ac:dyDescent="0.35">
      <c r="D231" s="39" t="s">
        <v>235</v>
      </c>
      <c r="E231" s="38">
        <v>33000000</v>
      </c>
      <c r="F231" s="1">
        <v>70201</v>
      </c>
      <c r="G231" s="282">
        <v>0</v>
      </c>
      <c r="H231" s="380">
        <f t="shared" si="53"/>
        <v>0</v>
      </c>
      <c r="I231" s="68">
        <f t="shared" si="57"/>
        <v>0</v>
      </c>
      <c r="J231" s="68">
        <f t="shared" si="58"/>
        <v>0</v>
      </c>
      <c r="K231" s="68" t="b">
        <f t="shared" si="59"/>
        <v>0</v>
      </c>
      <c r="L231" s="68">
        <f t="shared" si="60"/>
        <v>0</v>
      </c>
      <c r="M231" s="68" t="b">
        <f t="shared" si="61"/>
        <v>0</v>
      </c>
      <c r="N231" s="68">
        <f t="shared" si="62"/>
        <v>0</v>
      </c>
    </row>
    <row r="232" spans="4:14" ht="36" x14ac:dyDescent="0.35">
      <c r="D232" s="39" t="s">
        <v>234</v>
      </c>
      <c r="E232" s="38" t="s">
        <v>119</v>
      </c>
      <c r="F232" s="1">
        <v>130304</v>
      </c>
      <c r="G232" s="282">
        <v>0</v>
      </c>
      <c r="H232" s="380">
        <f t="shared" si="53"/>
        <v>0</v>
      </c>
      <c r="I232" s="68" t="str">
        <f t="shared" si="57"/>
        <v>0</v>
      </c>
      <c r="J232" s="68">
        <f t="shared" si="58"/>
        <v>0</v>
      </c>
      <c r="K232" s="68" t="b">
        <f t="shared" si="59"/>
        <v>0</v>
      </c>
      <c r="L232" s="68">
        <f t="shared" si="60"/>
        <v>0</v>
      </c>
      <c r="M232" s="68" t="b">
        <f t="shared" si="61"/>
        <v>1</v>
      </c>
      <c r="N232" s="68">
        <f t="shared" si="62"/>
        <v>0</v>
      </c>
    </row>
    <row r="233" spans="4:14" ht="36" x14ac:dyDescent="0.35">
      <c r="D233" s="39" t="s">
        <v>233</v>
      </c>
      <c r="E233" s="38" t="s">
        <v>119</v>
      </c>
      <c r="F233" s="1">
        <v>180102</v>
      </c>
      <c r="G233" s="282">
        <v>0</v>
      </c>
      <c r="H233" s="380">
        <f t="shared" si="53"/>
        <v>0</v>
      </c>
      <c r="I233" s="68" t="str">
        <f t="shared" si="57"/>
        <v>0</v>
      </c>
      <c r="J233" s="68">
        <f t="shared" si="58"/>
        <v>0</v>
      </c>
      <c r="K233" s="68" t="b">
        <f t="shared" si="59"/>
        <v>0</v>
      </c>
      <c r="L233" s="68">
        <f t="shared" si="60"/>
        <v>0</v>
      </c>
      <c r="M233" s="68" t="b">
        <f t="shared" si="61"/>
        <v>1</v>
      </c>
      <c r="N233" s="68">
        <f t="shared" si="62"/>
        <v>0</v>
      </c>
    </row>
    <row r="234" spans="4:14" ht="36" x14ac:dyDescent="0.35">
      <c r="D234" s="39" t="s">
        <v>232</v>
      </c>
      <c r="E234" s="38" t="s">
        <v>119</v>
      </c>
      <c r="F234" s="1">
        <v>130101</v>
      </c>
      <c r="G234" s="282"/>
      <c r="H234" s="380">
        <f t="shared" si="53"/>
        <v>0</v>
      </c>
      <c r="I234" s="68" t="str">
        <f t="shared" si="57"/>
        <v>0</v>
      </c>
      <c r="J234" s="68">
        <f t="shared" si="58"/>
        <v>0</v>
      </c>
      <c r="K234" s="68" t="b">
        <f t="shared" si="59"/>
        <v>0</v>
      </c>
      <c r="L234" s="68">
        <f t="shared" si="60"/>
        <v>0</v>
      </c>
      <c r="M234" s="68" t="b">
        <f t="shared" si="61"/>
        <v>1</v>
      </c>
      <c r="N234" s="68" t="str">
        <f t="shared" si="62"/>
        <v>nc</v>
      </c>
    </row>
    <row r="235" spans="4:14" ht="54" x14ac:dyDescent="0.35">
      <c r="D235" s="39" t="s">
        <v>231</v>
      </c>
      <c r="E235" s="38">
        <v>15000000</v>
      </c>
      <c r="F235" s="1">
        <v>150114</v>
      </c>
      <c r="G235" s="282">
        <v>0</v>
      </c>
      <c r="H235" s="380">
        <f t="shared" si="53"/>
        <v>0</v>
      </c>
      <c r="I235" s="68">
        <f t="shared" si="57"/>
        <v>0</v>
      </c>
      <c r="J235" s="68">
        <f t="shared" si="58"/>
        <v>0</v>
      </c>
      <c r="K235" s="68" t="b">
        <f t="shared" si="59"/>
        <v>0</v>
      </c>
      <c r="L235" s="68">
        <f t="shared" si="60"/>
        <v>0</v>
      </c>
      <c r="M235" s="68" t="b">
        <f t="shared" si="61"/>
        <v>0</v>
      </c>
      <c r="N235" s="68">
        <f t="shared" si="62"/>
        <v>0</v>
      </c>
    </row>
    <row r="236" spans="4:14" ht="36" x14ac:dyDescent="0.35">
      <c r="D236" s="39" t="s">
        <v>230</v>
      </c>
      <c r="E236" s="38" t="s">
        <v>119</v>
      </c>
      <c r="F236" s="1">
        <v>530202</v>
      </c>
      <c r="G236" s="282">
        <v>0</v>
      </c>
      <c r="H236" s="380">
        <f t="shared" si="53"/>
        <v>0</v>
      </c>
      <c r="I236" s="68" t="str">
        <f t="shared" si="57"/>
        <v>0</v>
      </c>
      <c r="J236" s="68">
        <f t="shared" si="58"/>
        <v>0</v>
      </c>
      <c r="K236" s="68" t="b">
        <f t="shared" si="59"/>
        <v>0</v>
      </c>
      <c r="L236" s="68">
        <f t="shared" si="60"/>
        <v>0</v>
      </c>
      <c r="M236" s="68" t="b">
        <f t="shared" si="61"/>
        <v>1</v>
      </c>
      <c r="N236" s="68">
        <f t="shared" si="62"/>
        <v>0</v>
      </c>
    </row>
    <row r="237" spans="4:14" x14ac:dyDescent="0.35">
      <c r="D237" s="39" t="s">
        <v>229</v>
      </c>
      <c r="E237" s="38">
        <v>400000000</v>
      </c>
      <c r="F237" s="1">
        <v>300102</v>
      </c>
      <c r="G237" s="282" t="s">
        <v>27</v>
      </c>
      <c r="H237" s="380">
        <f t="shared" si="53"/>
        <v>1</v>
      </c>
      <c r="I237" s="68" t="str">
        <f t="shared" si="57"/>
        <v>0</v>
      </c>
      <c r="J237" s="68">
        <f t="shared" si="58"/>
        <v>400000000</v>
      </c>
      <c r="K237" s="68" t="b">
        <f t="shared" si="59"/>
        <v>0</v>
      </c>
      <c r="L237" s="68">
        <f t="shared" si="60"/>
        <v>0</v>
      </c>
      <c r="M237" s="68" t="b">
        <f t="shared" si="61"/>
        <v>0</v>
      </c>
      <c r="N237" s="68">
        <f t="shared" si="62"/>
        <v>0</v>
      </c>
    </row>
    <row r="238" spans="4:14" ht="54" x14ac:dyDescent="0.35">
      <c r="D238" s="39" t="s">
        <v>228</v>
      </c>
      <c r="E238" s="38">
        <v>40000000</v>
      </c>
      <c r="F238" s="1">
        <v>150120</v>
      </c>
      <c r="G238" s="282">
        <v>0</v>
      </c>
      <c r="H238" s="380">
        <f t="shared" si="53"/>
        <v>0</v>
      </c>
      <c r="I238" s="68">
        <f t="shared" si="57"/>
        <v>0</v>
      </c>
      <c r="J238" s="68">
        <f t="shared" si="58"/>
        <v>0</v>
      </c>
      <c r="K238" s="68" t="b">
        <f t="shared" si="59"/>
        <v>0</v>
      </c>
      <c r="L238" s="68">
        <f t="shared" si="60"/>
        <v>0</v>
      </c>
      <c r="M238" s="68" t="b">
        <f t="shared" si="61"/>
        <v>0</v>
      </c>
      <c r="N238" s="68">
        <f t="shared" si="62"/>
        <v>0</v>
      </c>
    </row>
    <row r="239" spans="4:14" ht="54" x14ac:dyDescent="0.35">
      <c r="D239" s="39" t="s">
        <v>227</v>
      </c>
      <c r="E239" s="38">
        <v>15000000</v>
      </c>
      <c r="F239" s="1">
        <v>150118</v>
      </c>
      <c r="G239" s="282">
        <v>0</v>
      </c>
      <c r="H239" s="380">
        <f t="shared" si="53"/>
        <v>0</v>
      </c>
      <c r="I239" s="68">
        <f t="shared" si="57"/>
        <v>0</v>
      </c>
      <c r="J239" s="68">
        <f t="shared" si="58"/>
        <v>0</v>
      </c>
      <c r="K239" s="68" t="b">
        <f t="shared" si="59"/>
        <v>0</v>
      </c>
      <c r="L239" s="68">
        <f t="shared" si="60"/>
        <v>0</v>
      </c>
      <c r="M239" s="68" t="b">
        <f t="shared" si="61"/>
        <v>0</v>
      </c>
      <c r="N239" s="68">
        <f t="shared" si="62"/>
        <v>0</v>
      </c>
    </row>
    <row r="240" spans="4:14" ht="54" x14ac:dyDescent="0.35">
      <c r="D240" s="39" t="s">
        <v>226</v>
      </c>
      <c r="E240" s="38" t="s">
        <v>24</v>
      </c>
      <c r="F240" s="1">
        <v>150119</v>
      </c>
      <c r="G240" s="282">
        <v>0</v>
      </c>
      <c r="H240" s="380">
        <f t="shared" si="53"/>
        <v>0</v>
      </c>
      <c r="I240" s="68" t="str">
        <f t="shared" si="57"/>
        <v>0</v>
      </c>
      <c r="J240" s="68">
        <f t="shared" si="58"/>
        <v>0</v>
      </c>
      <c r="K240" s="68" t="b">
        <f t="shared" si="59"/>
        <v>0</v>
      </c>
      <c r="L240" s="68">
        <f t="shared" si="60"/>
        <v>0</v>
      </c>
      <c r="M240" s="68" t="b">
        <f t="shared" si="61"/>
        <v>1</v>
      </c>
      <c r="N240" s="68">
        <f t="shared" si="62"/>
        <v>0</v>
      </c>
    </row>
    <row r="241" spans="4:14" x14ac:dyDescent="0.35">
      <c r="D241" s="39" t="s">
        <v>225</v>
      </c>
      <c r="E241" s="38">
        <v>11000000</v>
      </c>
      <c r="F241" s="1">
        <v>300110</v>
      </c>
      <c r="G241" s="282">
        <v>0</v>
      </c>
      <c r="H241" s="380">
        <f t="shared" si="53"/>
        <v>0</v>
      </c>
      <c r="I241" s="68">
        <f t="shared" si="57"/>
        <v>0</v>
      </c>
      <c r="J241" s="68">
        <f t="shared" si="58"/>
        <v>0</v>
      </c>
      <c r="K241" s="68" t="b">
        <f t="shared" si="59"/>
        <v>0</v>
      </c>
      <c r="L241" s="68">
        <f t="shared" si="60"/>
        <v>0</v>
      </c>
      <c r="M241" s="68" t="b">
        <f t="shared" si="61"/>
        <v>0</v>
      </c>
      <c r="N241" s="68">
        <f t="shared" si="62"/>
        <v>0</v>
      </c>
    </row>
    <row r="242" spans="4:14" x14ac:dyDescent="0.35">
      <c r="D242" s="39" t="s">
        <v>224</v>
      </c>
      <c r="E242" s="38" t="s">
        <v>24</v>
      </c>
      <c r="F242" s="1">
        <v>550102</v>
      </c>
      <c r="G242" s="282">
        <v>0</v>
      </c>
      <c r="H242" s="380">
        <f t="shared" si="53"/>
        <v>0</v>
      </c>
      <c r="I242" s="68" t="str">
        <f t="shared" si="57"/>
        <v>0</v>
      </c>
      <c r="J242" s="68">
        <f t="shared" si="58"/>
        <v>0</v>
      </c>
      <c r="K242" s="68" t="b">
        <f t="shared" si="59"/>
        <v>0</v>
      </c>
      <c r="L242" s="68">
        <f t="shared" si="60"/>
        <v>0</v>
      </c>
      <c r="M242" s="68" t="b">
        <f t="shared" si="61"/>
        <v>1</v>
      </c>
      <c r="N242" s="68">
        <f t="shared" si="62"/>
        <v>0</v>
      </c>
    </row>
    <row r="243" spans="4:14" ht="54" x14ac:dyDescent="0.35">
      <c r="D243" s="39" t="s">
        <v>223</v>
      </c>
      <c r="E243" s="38" t="s">
        <v>119</v>
      </c>
      <c r="F243" s="1">
        <v>520107</v>
      </c>
      <c r="G243" s="282">
        <v>0</v>
      </c>
      <c r="H243" s="380">
        <f t="shared" si="53"/>
        <v>0</v>
      </c>
      <c r="I243" s="68" t="str">
        <f t="shared" si="57"/>
        <v>0</v>
      </c>
      <c r="J243" s="68">
        <f t="shared" si="58"/>
        <v>0</v>
      </c>
      <c r="K243" s="68" t="b">
        <f t="shared" si="59"/>
        <v>0</v>
      </c>
      <c r="L243" s="68">
        <f t="shared" si="60"/>
        <v>0</v>
      </c>
      <c r="M243" s="68" t="b">
        <f t="shared" si="61"/>
        <v>1</v>
      </c>
      <c r="N243" s="68">
        <f t="shared" si="62"/>
        <v>0</v>
      </c>
    </row>
    <row r="244" spans="4:14" ht="36" x14ac:dyDescent="0.35">
      <c r="D244" s="39" t="s">
        <v>222</v>
      </c>
      <c r="E244" s="38" t="s">
        <v>119</v>
      </c>
      <c r="F244" s="1">
        <v>150406</v>
      </c>
      <c r="G244" s="282">
        <v>0</v>
      </c>
      <c r="H244" s="380">
        <f t="shared" si="53"/>
        <v>0</v>
      </c>
      <c r="I244" s="68" t="str">
        <f t="shared" si="57"/>
        <v>0</v>
      </c>
      <c r="J244" s="68">
        <f t="shared" si="58"/>
        <v>0</v>
      </c>
      <c r="K244" s="68" t="b">
        <f t="shared" si="59"/>
        <v>0</v>
      </c>
      <c r="L244" s="68">
        <f t="shared" si="60"/>
        <v>0</v>
      </c>
      <c r="M244" s="68" t="b">
        <f t="shared" si="61"/>
        <v>1</v>
      </c>
      <c r="N244" s="68">
        <f t="shared" si="62"/>
        <v>0</v>
      </c>
    </row>
    <row r="245" spans="4:14" ht="36" x14ac:dyDescent="0.35">
      <c r="D245" s="39" t="s">
        <v>221</v>
      </c>
      <c r="E245" s="38" t="s">
        <v>119</v>
      </c>
      <c r="F245" s="1">
        <v>570202</v>
      </c>
      <c r="G245" s="282">
        <v>0</v>
      </c>
      <c r="H245" s="380">
        <f t="shared" si="53"/>
        <v>0</v>
      </c>
      <c r="I245" s="68" t="str">
        <f t="shared" si="57"/>
        <v>0</v>
      </c>
      <c r="J245" s="68">
        <f t="shared" si="58"/>
        <v>0</v>
      </c>
      <c r="K245" s="68" t="b">
        <f t="shared" si="59"/>
        <v>0</v>
      </c>
      <c r="L245" s="68">
        <f t="shared" si="60"/>
        <v>0</v>
      </c>
      <c r="M245" s="68" t="b">
        <f t="shared" si="61"/>
        <v>1</v>
      </c>
      <c r="N245" s="68">
        <f t="shared" si="62"/>
        <v>0</v>
      </c>
    </row>
    <row r="246" spans="4:14" ht="36" x14ac:dyDescent="0.35">
      <c r="D246" s="39" t="s">
        <v>220</v>
      </c>
      <c r="E246" s="38">
        <v>4000000</v>
      </c>
      <c r="F246" s="1">
        <v>180309</v>
      </c>
      <c r="G246" s="282">
        <v>0</v>
      </c>
      <c r="H246" s="380">
        <f t="shared" si="53"/>
        <v>0</v>
      </c>
      <c r="I246" s="68">
        <f t="shared" si="57"/>
        <v>0</v>
      </c>
      <c r="J246" s="68">
        <f t="shared" si="58"/>
        <v>0</v>
      </c>
      <c r="K246" s="68" t="b">
        <f t="shared" si="59"/>
        <v>0</v>
      </c>
      <c r="L246" s="68">
        <f t="shared" si="60"/>
        <v>0</v>
      </c>
      <c r="M246" s="68" t="b">
        <f t="shared" si="61"/>
        <v>0</v>
      </c>
      <c r="N246" s="68">
        <f t="shared" si="62"/>
        <v>0</v>
      </c>
    </row>
    <row r="247" spans="4:14" ht="36" x14ac:dyDescent="0.35">
      <c r="D247" s="39" t="s">
        <v>219</v>
      </c>
      <c r="E247" s="38">
        <v>5000000</v>
      </c>
      <c r="F247" s="1">
        <v>110269</v>
      </c>
      <c r="G247" s="282">
        <v>0</v>
      </c>
      <c r="H247" s="380">
        <f t="shared" si="53"/>
        <v>0</v>
      </c>
      <c r="I247" s="68">
        <f t="shared" si="57"/>
        <v>0</v>
      </c>
      <c r="J247" s="68">
        <f t="shared" si="58"/>
        <v>0</v>
      </c>
      <c r="K247" s="68" t="b">
        <f t="shared" si="59"/>
        <v>0</v>
      </c>
      <c r="L247" s="68">
        <f t="shared" si="60"/>
        <v>0</v>
      </c>
      <c r="M247" s="68" t="b">
        <f t="shared" si="61"/>
        <v>0</v>
      </c>
      <c r="N247" s="68">
        <f t="shared" si="62"/>
        <v>0</v>
      </c>
    </row>
    <row r="248" spans="4:14" x14ac:dyDescent="0.35">
      <c r="D248" s="39" t="s">
        <v>218</v>
      </c>
      <c r="E248" s="38">
        <v>5000000</v>
      </c>
      <c r="F248" s="1">
        <v>110265</v>
      </c>
      <c r="G248" s="282">
        <v>0</v>
      </c>
      <c r="H248" s="380">
        <f t="shared" si="53"/>
        <v>0</v>
      </c>
      <c r="I248" s="68">
        <f t="shared" si="57"/>
        <v>0</v>
      </c>
      <c r="J248" s="68">
        <f t="shared" si="58"/>
        <v>0</v>
      </c>
      <c r="K248" s="68" t="b">
        <f t="shared" si="59"/>
        <v>0</v>
      </c>
      <c r="L248" s="68">
        <f t="shared" si="60"/>
        <v>0</v>
      </c>
      <c r="M248" s="68" t="b">
        <f t="shared" si="61"/>
        <v>0</v>
      </c>
      <c r="N248" s="68">
        <f t="shared" si="62"/>
        <v>0</v>
      </c>
    </row>
    <row r="249" spans="4:14" ht="36" x14ac:dyDescent="0.35">
      <c r="D249" s="39" t="s">
        <v>217</v>
      </c>
      <c r="E249" s="38">
        <v>40000000</v>
      </c>
      <c r="F249" s="1">
        <v>110250</v>
      </c>
      <c r="G249" s="282">
        <v>0.2</v>
      </c>
      <c r="H249" s="380">
        <f t="shared" si="53"/>
        <v>1</v>
      </c>
      <c r="I249" s="68">
        <f t="shared" si="57"/>
        <v>8000000</v>
      </c>
      <c r="J249" s="68">
        <f t="shared" si="58"/>
        <v>0</v>
      </c>
      <c r="K249" s="68" t="b">
        <f t="shared" si="59"/>
        <v>0</v>
      </c>
      <c r="L249" s="68">
        <f t="shared" si="60"/>
        <v>0</v>
      </c>
      <c r="M249" s="68" t="b">
        <f t="shared" si="61"/>
        <v>0</v>
      </c>
      <c r="N249" s="68">
        <f t="shared" si="62"/>
        <v>0</v>
      </c>
    </row>
    <row r="250" spans="4:14" ht="54" x14ac:dyDescent="0.35">
      <c r="D250" s="39" t="s">
        <v>216</v>
      </c>
      <c r="E250" s="38">
        <v>65000000</v>
      </c>
      <c r="F250" s="1">
        <v>110251</v>
      </c>
      <c r="G250" s="282">
        <v>0.2</v>
      </c>
      <c r="H250" s="380">
        <f t="shared" si="53"/>
        <v>1</v>
      </c>
      <c r="I250" s="68">
        <f t="shared" si="57"/>
        <v>13000000</v>
      </c>
      <c r="J250" s="68">
        <f t="shared" si="58"/>
        <v>0</v>
      </c>
      <c r="K250" s="68" t="b">
        <f t="shared" si="59"/>
        <v>0</v>
      </c>
      <c r="L250" s="68">
        <f t="shared" si="60"/>
        <v>0</v>
      </c>
      <c r="M250" s="68" t="b">
        <f t="shared" si="61"/>
        <v>0</v>
      </c>
      <c r="N250" s="68">
        <f t="shared" si="62"/>
        <v>0</v>
      </c>
    </row>
    <row r="251" spans="4:14" ht="90" x14ac:dyDescent="0.35">
      <c r="D251" s="39" t="s">
        <v>215</v>
      </c>
      <c r="E251" s="38">
        <v>200000000</v>
      </c>
      <c r="F251" s="1">
        <v>110252</v>
      </c>
      <c r="G251" s="282">
        <v>0.2</v>
      </c>
      <c r="H251" s="380">
        <f t="shared" si="53"/>
        <v>1</v>
      </c>
      <c r="I251" s="68">
        <f t="shared" si="57"/>
        <v>40000000</v>
      </c>
      <c r="J251" s="68">
        <f t="shared" si="58"/>
        <v>0</v>
      </c>
      <c r="K251" s="68" t="b">
        <f t="shared" si="59"/>
        <v>0</v>
      </c>
      <c r="L251" s="68">
        <f t="shared" si="60"/>
        <v>0</v>
      </c>
      <c r="M251" s="68" t="b">
        <f t="shared" si="61"/>
        <v>0</v>
      </c>
      <c r="N251" s="68">
        <f t="shared" si="62"/>
        <v>0</v>
      </c>
    </row>
    <row r="252" spans="4:14" x14ac:dyDescent="0.35">
      <c r="D252" s="39" t="s">
        <v>214</v>
      </c>
      <c r="E252" s="38">
        <v>1529000000</v>
      </c>
      <c r="F252" s="1">
        <v>110261</v>
      </c>
      <c r="G252" s="282">
        <v>0.2</v>
      </c>
      <c r="H252" s="380">
        <f t="shared" si="53"/>
        <v>1</v>
      </c>
      <c r="I252" s="68">
        <f t="shared" si="57"/>
        <v>305800000</v>
      </c>
      <c r="J252" s="68">
        <f t="shared" si="58"/>
        <v>0</v>
      </c>
      <c r="K252" s="68" t="b">
        <f t="shared" si="59"/>
        <v>0</v>
      </c>
      <c r="L252" s="68">
        <f t="shared" si="60"/>
        <v>0</v>
      </c>
      <c r="M252" s="68" t="b">
        <f t="shared" si="61"/>
        <v>0</v>
      </c>
      <c r="N252" s="68">
        <f t="shared" si="62"/>
        <v>0</v>
      </c>
    </row>
    <row r="253" spans="4:14" ht="72" x14ac:dyDescent="0.35">
      <c r="D253" s="39" t="s">
        <v>213</v>
      </c>
      <c r="E253" s="38" t="s">
        <v>119</v>
      </c>
      <c r="F253" s="1">
        <v>180310</v>
      </c>
      <c r="G253" s="282">
        <v>0</v>
      </c>
      <c r="H253" s="380">
        <f t="shared" si="53"/>
        <v>0</v>
      </c>
      <c r="I253" s="68" t="str">
        <f t="shared" si="57"/>
        <v>0</v>
      </c>
      <c r="J253" s="68">
        <f t="shared" si="58"/>
        <v>0</v>
      </c>
      <c r="K253" s="68" t="b">
        <f t="shared" si="59"/>
        <v>0</v>
      </c>
      <c r="L253" s="68">
        <f t="shared" si="60"/>
        <v>0</v>
      </c>
      <c r="M253" s="68" t="b">
        <f t="shared" si="61"/>
        <v>1</v>
      </c>
      <c r="N253" s="68">
        <f t="shared" si="62"/>
        <v>0</v>
      </c>
    </row>
    <row r="254" spans="4:14" ht="36" x14ac:dyDescent="0.35">
      <c r="D254" s="39" t="s">
        <v>212</v>
      </c>
      <c r="E254" s="38">
        <v>460000000</v>
      </c>
      <c r="F254" s="1">
        <v>730210</v>
      </c>
      <c r="G254" s="282">
        <v>0.2</v>
      </c>
      <c r="H254" s="380">
        <f t="shared" si="53"/>
        <v>1</v>
      </c>
      <c r="I254" s="68">
        <f t="shared" si="57"/>
        <v>92000000</v>
      </c>
      <c r="J254" s="68">
        <f t="shared" si="58"/>
        <v>0</v>
      </c>
      <c r="K254" s="68" t="b">
        <f t="shared" si="59"/>
        <v>0</v>
      </c>
      <c r="L254" s="68">
        <f t="shared" si="60"/>
        <v>0</v>
      </c>
      <c r="M254" s="68" t="b">
        <f t="shared" si="61"/>
        <v>0</v>
      </c>
      <c r="N254" s="68">
        <f t="shared" si="62"/>
        <v>0</v>
      </c>
    </row>
    <row r="255" spans="4:14" ht="108" x14ac:dyDescent="0.35">
      <c r="D255" s="39" t="s">
        <v>211</v>
      </c>
      <c r="E255" s="38">
        <v>160000000</v>
      </c>
      <c r="F255" s="1">
        <v>730222</v>
      </c>
      <c r="G255" s="282">
        <v>0</v>
      </c>
      <c r="H255" s="380">
        <f t="shared" si="53"/>
        <v>0</v>
      </c>
      <c r="I255" s="68">
        <f t="shared" si="57"/>
        <v>0</v>
      </c>
      <c r="J255" s="68">
        <f t="shared" si="58"/>
        <v>0</v>
      </c>
      <c r="K255" s="68" t="b">
        <f t="shared" si="59"/>
        <v>0</v>
      </c>
      <c r="L255" s="68">
        <f t="shared" si="60"/>
        <v>0</v>
      </c>
      <c r="M255" s="68" t="b">
        <f t="shared" si="61"/>
        <v>0</v>
      </c>
      <c r="N255" s="68">
        <f t="shared" si="62"/>
        <v>0</v>
      </c>
    </row>
    <row r="256" spans="4:14" ht="54" x14ac:dyDescent="0.35">
      <c r="D256" s="39" t="s">
        <v>210</v>
      </c>
      <c r="E256" s="38">
        <v>2170000000</v>
      </c>
      <c r="F256" s="1">
        <v>730213</v>
      </c>
      <c r="G256" s="282">
        <v>0</v>
      </c>
      <c r="H256" s="380">
        <f t="shared" si="53"/>
        <v>0</v>
      </c>
      <c r="I256" s="68">
        <f t="shared" si="57"/>
        <v>0</v>
      </c>
      <c r="J256" s="68">
        <f t="shared" si="58"/>
        <v>0</v>
      </c>
      <c r="K256" s="68" t="b">
        <f t="shared" si="59"/>
        <v>0</v>
      </c>
      <c r="L256" s="68">
        <f t="shared" si="60"/>
        <v>0</v>
      </c>
      <c r="M256" s="68" t="b">
        <f t="shared" si="61"/>
        <v>0</v>
      </c>
      <c r="N256" s="68">
        <f t="shared" si="62"/>
        <v>0</v>
      </c>
    </row>
    <row r="257" spans="1:4096" ht="72" x14ac:dyDescent="0.35">
      <c r="D257" s="39" t="s">
        <v>209</v>
      </c>
      <c r="E257" s="38">
        <v>495000000</v>
      </c>
      <c r="F257" s="1">
        <v>730216</v>
      </c>
      <c r="G257" s="282">
        <v>0</v>
      </c>
      <c r="H257" s="380">
        <f t="shared" si="53"/>
        <v>0</v>
      </c>
      <c r="I257" s="68">
        <f t="shared" si="57"/>
        <v>0</v>
      </c>
      <c r="J257" s="68">
        <f t="shared" si="58"/>
        <v>0</v>
      </c>
      <c r="K257" s="68" t="b">
        <f t="shared" si="59"/>
        <v>0</v>
      </c>
      <c r="L257" s="68">
        <f t="shared" si="60"/>
        <v>0</v>
      </c>
      <c r="M257" s="68" t="b">
        <f t="shared" si="61"/>
        <v>0</v>
      </c>
      <c r="N257" s="68">
        <f t="shared" si="62"/>
        <v>0</v>
      </c>
    </row>
    <row r="258" spans="1:4096" ht="36" x14ac:dyDescent="0.35">
      <c r="D258" s="39" t="s">
        <v>208</v>
      </c>
      <c r="E258" s="38">
        <v>975000000</v>
      </c>
      <c r="F258" s="1">
        <v>730223</v>
      </c>
      <c r="G258" s="282">
        <v>0</v>
      </c>
      <c r="H258" s="380">
        <f t="shared" si="53"/>
        <v>0</v>
      </c>
      <c r="I258" s="68">
        <f t="shared" si="57"/>
        <v>0</v>
      </c>
      <c r="J258" s="68">
        <f t="shared" si="58"/>
        <v>0</v>
      </c>
      <c r="K258" s="68" t="b">
        <f t="shared" si="59"/>
        <v>0</v>
      </c>
      <c r="L258" s="68">
        <f t="shared" si="60"/>
        <v>0</v>
      </c>
      <c r="M258" s="68" t="b">
        <f t="shared" si="61"/>
        <v>0</v>
      </c>
      <c r="N258" s="68">
        <f t="shared" si="62"/>
        <v>0</v>
      </c>
    </row>
    <row r="259" spans="1:4096" x14ac:dyDescent="0.35">
      <c r="D259" s="117" t="s">
        <v>104</v>
      </c>
      <c r="G259" s="282"/>
      <c r="H259" s="380">
        <f t="shared" si="53"/>
        <v>0</v>
      </c>
      <c r="I259" s="68"/>
      <c r="J259" s="68"/>
      <c r="K259" s="68"/>
      <c r="L259" s="68"/>
      <c r="M259" s="68"/>
      <c r="N259" s="68"/>
    </row>
    <row r="260" spans="1:4096" x14ac:dyDescent="0.35">
      <c r="A260" s="35"/>
      <c r="B260" s="35"/>
      <c r="C260" s="35"/>
      <c r="D260" s="35" t="s">
        <v>207</v>
      </c>
      <c r="E260" s="38">
        <v>950000000</v>
      </c>
      <c r="F260" s="36">
        <v>140102</v>
      </c>
      <c r="G260" s="282">
        <v>0.05</v>
      </c>
      <c r="H260" s="380">
        <f t="shared" si="53"/>
        <v>1</v>
      </c>
      <c r="I260" s="68">
        <f t="shared" ref="I260:I268" si="63">IF(ISNUMBER(G260*E260),E260*G260,"0")</f>
        <v>47500000</v>
      </c>
      <c r="J260" s="68">
        <f t="shared" ref="J260:J268" si="64">IF(AND(NOT($M260),$G260="mix"),$E260,0)</f>
        <v>0</v>
      </c>
      <c r="K260" s="68" t="b">
        <f t="shared" ref="K260:K268" si="65">AND(M260,G260&gt;0)</f>
        <v>0</v>
      </c>
      <c r="L260" s="68">
        <f t="shared" ref="L260:L268" si="66">IF(AND(NOT($M260),$G260="inc"),$E260,0)</f>
        <v>0</v>
      </c>
      <c r="M260" s="68" t="b">
        <f t="shared" ref="M260:M268" si="67">NOT(ISNUMBER($E260))</f>
        <v>0</v>
      </c>
      <c r="N260" s="68">
        <f t="shared" ref="N260:N268" si="68">IF(AND(NOT(ISNUMBER(G260)),L260+K260+J260+I260=0),E260,0)</f>
        <v>0</v>
      </c>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c r="CF260" s="35"/>
      <c r="CG260" s="35"/>
      <c r="CH260" s="35"/>
      <c r="CI260" s="35"/>
      <c r="CJ260" s="35"/>
      <c r="CK260" s="35"/>
      <c r="CL260" s="35"/>
      <c r="CM260" s="35"/>
      <c r="CN260" s="35"/>
      <c r="CO260" s="35"/>
      <c r="CP260" s="35"/>
      <c r="CQ260" s="35"/>
      <c r="CR260" s="35"/>
      <c r="CS260" s="35"/>
      <c r="CT260" s="35"/>
      <c r="CU260" s="35"/>
      <c r="CV260" s="35"/>
      <c r="CW260" s="35"/>
      <c r="CX260" s="35"/>
      <c r="CY260" s="35"/>
      <c r="CZ260" s="35"/>
      <c r="DA260" s="35"/>
      <c r="DB260" s="35"/>
      <c r="DC260" s="35"/>
      <c r="DD260" s="35"/>
      <c r="DE260" s="35"/>
      <c r="DF260" s="35"/>
      <c r="DG260" s="35"/>
      <c r="DH260" s="35"/>
      <c r="DI260" s="35"/>
      <c r="DJ260" s="35"/>
      <c r="DK260" s="35"/>
      <c r="DL260" s="35"/>
      <c r="DM260" s="35"/>
      <c r="DN260" s="35"/>
      <c r="DO260" s="35"/>
      <c r="DP260" s="35"/>
      <c r="DQ260" s="35"/>
      <c r="DR260" s="35"/>
      <c r="DS260" s="35"/>
      <c r="DT260" s="35"/>
      <c r="DU260" s="35"/>
      <c r="DV260" s="35"/>
      <c r="DW260" s="35"/>
      <c r="DX260" s="35"/>
      <c r="DY260" s="35"/>
      <c r="DZ260" s="35"/>
      <c r="EA260" s="35"/>
      <c r="EB260" s="35"/>
      <c r="EC260" s="35"/>
      <c r="ED260" s="35"/>
      <c r="EE260" s="35"/>
      <c r="EF260" s="35"/>
      <c r="EG260" s="35"/>
      <c r="EH260" s="35"/>
      <c r="EI260" s="35"/>
      <c r="EJ260" s="35"/>
      <c r="EK260" s="35"/>
      <c r="EL260" s="35"/>
      <c r="EM260" s="35"/>
      <c r="EN260" s="35"/>
      <c r="EO260" s="35"/>
      <c r="EP260" s="35"/>
      <c r="EQ260" s="35"/>
      <c r="ER260" s="35"/>
      <c r="ES260" s="35"/>
      <c r="ET260" s="35"/>
      <c r="EU260" s="35"/>
      <c r="EV260" s="35"/>
      <c r="EW260" s="35"/>
      <c r="EX260" s="35"/>
      <c r="EY260" s="35"/>
      <c r="EZ260" s="35"/>
      <c r="FA260" s="35"/>
      <c r="FB260" s="35"/>
      <c r="FC260" s="35"/>
      <c r="FD260" s="35"/>
      <c r="FE260" s="35"/>
      <c r="FF260" s="35"/>
      <c r="FG260" s="35"/>
      <c r="FH260" s="35"/>
      <c r="FI260" s="35"/>
      <c r="FJ260" s="35"/>
      <c r="FK260" s="35"/>
      <c r="FL260" s="35"/>
      <c r="FM260" s="35"/>
      <c r="FN260" s="35"/>
      <c r="FO260" s="35"/>
      <c r="FP260" s="35"/>
      <c r="FQ260" s="35"/>
      <c r="FR260" s="35"/>
      <c r="FS260" s="35"/>
      <c r="FT260" s="35"/>
      <c r="FU260" s="35"/>
      <c r="FV260" s="35"/>
      <c r="FW260" s="35"/>
      <c r="FX260" s="35"/>
      <c r="FY260" s="35"/>
      <c r="FZ260" s="35"/>
      <c r="GA260" s="35"/>
      <c r="GB260" s="35"/>
      <c r="GC260" s="35"/>
      <c r="GD260" s="35"/>
      <c r="GE260" s="35"/>
      <c r="GF260" s="35"/>
      <c r="GG260" s="35"/>
      <c r="GH260" s="35"/>
      <c r="GI260" s="35"/>
      <c r="GJ260" s="35"/>
      <c r="GK260" s="35"/>
      <c r="GL260" s="35"/>
      <c r="GM260" s="35"/>
      <c r="GN260" s="35"/>
      <c r="GO260" s="35"/>
      <c r="GP260" s="35"/>
      <c r="GQ260" s="35"/>
      <c r="GR260" s="35"/>
      <c r="GS260" s="35"/>
      <c r="GT260" s="35"/>
      <c r="GU260" s="35"/>
      <c r="GV260" s="35"/>
      <c r="GW260" s="35"/>
      <c r="GX260" s="35"/>
      <c r="GY260" s="35"/>
      <c r="GZ260" s="35"/>
      <c r="HA260" s="35"/>
      <c r="HB260" s="35"/>
      <c r="HC260" s="35"/>
      <c r="HD260" s="35"/>
      <c r="HE260" s="35"/>
      <c r="HF260" s="35"/>
      <c r="HG260" s="35"/>
      <c r="HH260" s="35"/>
      <c r="HI260" s="35"/>
      <c r="HJ260" s="35"/>
      <c r="HK260" s="35"/>
      <c r="HL260" s="35"/>
      <c r="HM260" s="35"/>
      <c r="HN260" s="35"/>
      <c r="HO260" s="35"/>
      <c r="HP260" s="35"/>
      <c r="HQ260" s="35"/>
      <c r="HR260" s="35"/>
      <c r="HS260" s="35"/>
      <c r="HT260" s="35"/>
      <c r="HU260" s="35"/>
      <c r="HV260" s="35"/>
      <c r="HW260" s="35"/>
      <c r="HX260" s="35"/>
      <c r="HY260" s="35"/>
      <c r="HZ260" s="35"/>
      <c r="IA260" s="35"/>
      <c r="IB260" s="35"/>
      <c r="IC260" s="35"/>
      <c r="ID260" s="35"/>
      <c r="IE260" s="35"/>
      <c r="IF260" s="35"/>
      <c r="IG260" s="35"/>
      <c r="IH260" s="35"/>
      <c r="II260" s="35"/>
      <c r="IJ260" s="35"/>
      <c r="IK260" s="35"/>
      <c r="IL260" s="35"/>
      <c r="IM260" s="35"/>
      <c r="IN260" s="35"/>
      <c r="IO260" s="35"/>
      <c r="IP260" s="35"/>
      <c r="IQ260" s="35"/>
      <c r="IR260" s="35"/>
      <c r="IS260" s="35"/>
      <c r="IT260" s="35"/>
      <c r="IU260" s="35"/>
      <c r="IV260" s="35"/>
      <c r="IW260" s="35"/>
      <c r="IX260" s="35"/>
      <c r="IY260" s="35"/>
      <c r="IZ260" s="35"/>
      <c r="JA260" s="35"/>
      <c r="JB260" s="35"/>
      <c r="JC260" s="35"/>
      <c r="JD260" s="35"/>
      <c r="JE260" s="35"/>
      <c r="JF260" s="35"/>
      <c r="JG260" s="35"/>
      <c r="JH260" s="35"/>
      <c r="JI260" s="35"/>
      <c r="JJ260" s="35"/>
      <c r="JK260" s="35"/>
      <c r="JL260" s="35"/>
      <c r="JM260" s="35"/>
      <c r="JN260" s="35"/>
      <c r="JO260" s="35"/>
      <c r="JP260" s="35"/>
      <c r="JQ260" s="35"/>
      <c r="JR260" s="35"/>
      <c r="JS260" s="35"/>
      <c r="JT260" s="35"/>
      <c r="JU260" s="35"/>
      <c r="JV260" s="35"/>
      <c r="JW260" s="35"/>
      <c r="JX260" s="35"/>
      <c r="JY260" s="35"/>
      <c r="JZ260" s="35"/>
      <c r="KA260" s="35"/>
      <c r="KB260" s="35"/>
      <c r="KC260" s="35"/>
      <c r="KD260" s="35"/>
      <c r="KE260" s="35"/>
      <c r="KF260" s="35"/>
      <c r="KG260" s="35"/>
      <c r="KH260" s="35"/>
      <c r="KI260" s="35"/>
      <c r="KJ260" s="35"/>
      <c r="KK260" s="35"/>
      <c r="KL260" s="35"/>
      <c r="KM260" s="35"/>
      <c r="KN260" s="35"/>
      <c r="KO260" s="35"/>
      <c r="KP260" s="35"/>
      <c r="KQ260" s="35"/>
      <c r="KR260" s="35"/>
      <c r="KS260" s="35"/>
      <c r="KT260" s="35"/>
      <c r="KU260" s="35"/>
      <c r="KV260" s="35"/>
      <c r="KW260" s="35"/>
      <c r="KX260" s="35"/>
      <c r="KY260" s="35"/>
      <c r="KZ260" s="35"/>
      <c r="LA260" s="35"/>
      <c r="LB260" s="35"/>
      <c r="LC260" s="35"/>
      <c r="LD260" s="35"/>
      <c r="LE260" s="35"/>
      <c r="LF260" s="35"/>
      <c r="LG260" s="35"/>
      <c r="LH260" s="35"/>
      <c r="LI260" s="35"/>
      <c r="LJ260" s="35"/>
      <c r="LK260" s="35"/>
      <c r="LL260" s="35"/>
      <c r="LM260" s="35"/>
      <c r="LN260" s="35"/>
      <c r="LO260" s="35"/>
      <c r="LP260" s="35"/>
      <c r="LQ260" s="35"/>
      <c r="LR260" s="35"/>
      <c r="LS260" s="35"/>
      <c r="LT260" s="35"/>
      <c r="LU260" s="35"/>
      <c r="LV260" s="35"/>
      <c r="LW260" s="35"/>
      <c r="LX260" s="35"/>
      <c r="LY260" s="35"/>
      <c r="LZ260" s="35"/>
      <c r="MA260" s="35"/>
      <c r="MB260" s="35"/>
      <c r="MC260" s="35"/>
      <c r="MD260" s="35"/>
      <c r="ME260" s="35"/>
      <c r="MF260" s="35"/>
      <c r="MG260" s="35"/>
      <c r="MH260" s="35"/>
      <c r="MI260" s="35"/>
      <c r="MJ260" s="35"/>
      <c r="MK260" s="35"/>
      <c r="ML260" s="35"/>
      <c r="MM260" s="35"/>
      <c r="MN260" s="35"/>
      <c r="MO260" s="35"/>
      <c r="MP260" s="35"/>
      <c r="MQ260" s="35"/>
      <c r="MR260" s="35"/>
      <c r="MS260" s="35"/>
      <c r="MT260" s="35"/>
      <c r="MU260" s="35"/>
      <c r="MV260" s="35"/>
      <c r="MW260" s="35"/>
      <c r="MX260" s="35"/>
      <c r="MY260" s="35"/>
      <c r="MZ260" s="35"/>
      <c r="NA260" s="35"/>
      <c r="NB260" s="35"/>
      <c r="NC260" s="35"/>
      <c r="ND260" s="35"/>
      <c r="NE260" s="35"/>
      <c r="NF260" s="35"/>
      <c r="NG260" s="35"/>
      <c r="NH260" s="35"/>
      <c r="NI260" s="35"/>
      <c r="NJ260" s="35"/>
      <c r="NK260" s="35"/>
      <c r="NL260" s="35"/>
      <c r="NM260" s="35"/>
      <c r="NN260" s="35"/>
      <c r="NO260" s="35"/>
      <c r="NP260" s="35"/>
      <c r="NQ260" s="35"/>
      <c r="NR260" s="35"/>
      <c r="NS260" s="35"/>
      <c r="NT260" s="35"/>
      <c r="NU260" s="35"/>
      <c r="NV260" s="35"/>
      <c r="NW260" s="35"/>
      <c r="NX260" s="35"/>
      <c r="NY260" s="35"/>
      <c r="NZ260" s="35"/>
      <c r="OA260" s="35"/>
      <c r="OB260" s="35"/>
      <c r="OC260" s="35"/>
      <c r="OD260" s="35"/>
      <c r="OE260" s="35"/>
      <c r="OF260" s="35"/>
      <c r="OG260" s="35"/>
      <c r="OH260" s="35"/>
      <c r="OI260" s="35"/>
      <c r="OJ260" s="35"/>
      <c r="OK260" s="35"/>
      <c r="OL260" s="35"/>
      <c r="OM260" s="35"/>
      <c r="ON260" s="35"/>
      <c r="OO260" s="35"/>
      <c r="OP260" s="35"/>
      <c r="OQ260" s="35"/>
      <c r="OR260" s="35"/>
      <c r="OS260" s="35"/>
      <c r="OT260" s="35"/>
      <c r="OU260" s="35"/>
      <c r="OV260" s="35"/>
      <c r="OW260" s="35"/>
      <c r="OX260" s="35"/>
      <c r="OY260" s="35"/>
      <c r="OZ260" s="35"/>
      <c r="PA260" s="35"/>
      <c r="PB260" s="35"/>
      <c r="PC260" s="35"/>
      <c r="PD260" s="35"/>
      <c r="PE260" s="35"/>
      <c r="PF260" s="35"/>
      <c r="PG260" s="35"/>
      <c r="PH260" s="35"/>
      <c r="PI260" s="35"/>
      <c r="PJ260" s="35"/>
      <c r="PK260" s="35"/>
      <c r="PL260" s="35"/>
      <c r="PM260" s="35"/>
      <c r="PN260" s="35"/>
      <c r="PO260" s="35"/>
      <c r="PP260" s="35"/>
      <c r="PQ260" s="35"/>
      <c r="PR260" s="35"/>
      <c r="PS260" s="35"/>
      <c r="PT260" s="35"/>
      <c r="PU260" s="35"/>
      <c r="PV260" s="35"/>
      <c r="PW260" s="35"/>
      <c r="PX260" s="35"/>
      <c r="PY260" s="35"/>
      <c r="PZ260" s="35"/>
      <c r="QA260" s="35"/>
      <c r="QB260" s="35"/>
      <c r="QC260" s="35"/>
      <c r="QD260" s="35"/>
      <c r="QE260" s="35"/>
      <c r="QF260" s="35"/>
      <c r="QG260" s="35"/>
      <c r="QH260" s="35"/>
      <c r="QI260" s="35"/>
      <c r="QJ260" s="35"/>
      <c r="QK260" s="35"/>
      <c r="QL260" s="35"/>
      <c r="QM260" s="35"/>
      <c r="QN260" s="35"/>
      <c r="QO260" s="35"/>
      <c r="QP260" s="35"/>
      <c r="QQ260" s="35"/>
      <c r="QR260" s="35"/>
      <c r="QS260" s="35"/>
      <c r="QT260" s="35"/>
      <c r="QU260" s="35"/>
      <c r="QV260" s="35"/>
      <c r="QW260" s="35"/>
      <c r="QX260" s="35"/>
      <c r="QY260" s="35"/>
      <c r="QZ260" s="35"/>
      <c r="RA260" s="35"/>
      <c r="RB260" s="35"/>
      <c r="RC260" s="35"/>
      <c r="RD260" s="35"/>
      <c r="RE260" s="35"/>
      <c r="RF260" s="35"/>
      <c r="RG260" s="35"/>
      <c r="RH260" s="35"/>
      <c r="RI260" s="35"/>
      <c r="RJ260" s="35"/>
      <c r="RK260" s="35"/>
      <c r="RL260" s="35"/>
      <c r="RM260" s="35"/>
      <c r="RN260" s="35"/>
      <c r="RO260" s="35"/>
      <c r="RP260" s="35"/>
      <c r="RQ260" s="35"/>
      <c r="RR260" s="35"/>
      <c r="RS260" s="35"/>
      <c r="RT260" s="35"/>
      <c r="RU260" s="35"/>
      <c r="RV260" s="35"/>
      <c r="RW260" s="35"/>
      <c r="RX260" s="35"/>
      <c r="RY260" s="35"/>
      <c r="RZ260" s="35"/>
      <c r="SA260" s="35"/>
      <c r="SB260" s="35"/>
      <c r="SC260" s="35"/>
      <c r="SD260" s="35"/>
      <c r="SE260" s="35"/>
      <c r="SF260" s="35"/>
      <c r="SG260" s="35"/>
      <c r="SH260" s="35"/>
      <c r="SI260" s="35"/>
      <c r="SJ260" s="35"/>
      <c r="SK260" s="35"/>
      <c r="SL260" s="35"/>
      <c r="SM260" s="35"/>
      <c r="SN260" s="35"/>
      <c r="SO260" s="35"/>
      <c r="SP260" s="35"/>
      <c r="SQ260" s="35"/>
      <c r="SR260" s="35"/>
      <c r="SS260" s="35"/>
      <c r="ST260" s="35"/>
      <c r="SU260" s="35"/>
      <c r="SV260" s="35"/>
      <c r="SW260" s="35"/>
      <c r="SX260" s="35"/>
      <c r="SY260" s="35"/>
      <c r="SZ260" s="35"/>
      <c r="TA260" s="35"/>
      <c r="TB260" s="35"/>
      <c r="TC260" s="35"/>
      <c r="TD260" s="35"/>
      <c r="TE260" s="35"/>
      <c r="TF260" s="35"/>
      <c r="TG260" s="35"/>
      <c r="TH260" s="35"/>
      <c r="TI260" s="35"/>
      <c r="TJ260" s="35"/>
      <c r="TK260" s="35"/>
      <c r="TL260" s="35"/>
      <c r="TM260" s="35"/>
      <c r="TN260" s="35"/>
      <c r="TO260" s="35"/>
      <c r="TP260" s="35"/>
      <c r="TQ260" s="35"/>
      <c r="TR260" s="35"/>
      <c r="TS260" s="35"/>
      <c r="TT260" s="35"/>
      <c r="TU260" s="35"/>
      <c r="TV260" s="35"/>
      <c r="TW260" s="35"/>
      <c r="TX260" s="35"/>
      <c r="TY260" s="35"/>
      <c r="TZ260" s="35"/>
      <c r="UA260" s="35"/>
      <c r="UB260" s="35"/>
      <c r="UC260" s="35"/>
      <c r="UD260" s="35"/>
      <c r="UE260" s="35"/>
      <c r="UF260" s="35"/>
      <c r="UG260" s="35"/>
      <c r="UH260" s="35"/>
      <c r="UI260" s="35"/>
      <c r="UJ260" s="35"/>
      <c r="UK260" s="35"/>
      <c r="UL260" s="35"/>
      <c r="UM260" s="35"/>
      <c r="UN260" s="35"/>
      <c r="UO260" s="35"/>
      <c r="UP260" s="35"/>
      <c r="UQ260" s="35"/>
      <c r="UR260" s="35"/>
      <c r="US260" s="35"/>
      <c r="UT260" s="35"/>
      <c r="UU260" s="35"/>
      <c r="UV260" s="35"/>
      <c r="UW260" s="35"/>
      <c r="UX260" s="35"/>
      <c r="UY260" s="35"/>
      <c r="UZ260" s="35"/>
      <c r="VA260" s="35"/>
      <c r="VB260" s="35"/>
      <c r="VC260" s="35"/>
      <c r="VD260" s="35"/>
      <c r="VE260" s="35"/>
      <c r="VF260" s="35"/>
      <c r="VG260" s="35"/>
      <c r="VH260" s="35"/>
      <c r="VI260" s="35"/>
      <c r="VJ260" s="35"/>
      <c r="VK260" s="35"/>
      <c r="VL260" s="35"/>
      <c r="VM260" s="35"/>
      <c r="VN260" s="35"/>
      <c r="VO260" s="35"/>
      <c r="VP260" s="35"/>
      <c r="VQ260" s="35"/>
      <c r="VR260" s="35"/>
      <c r="VS260" s="35"/>
      <c r="VT260" s="35"/>
      <c r="VU260" s="35"/>
      <c r="VV260" s="35"/>
      <c r="VW260" s="35"/>
      <c r="VX260" s="35"/>
      <c r="VY260" s="35"/>
      <c r="VZ260" s="35"/>
      <c r="WA260" s="35"/>
      <c r="WB260" s="35"/>
      <c r="WC260" s="35"/>
      <c r="WD260" s="35"/>
      <c r="WE260" s="35"/>
      <c r="WF260" s="35"/>
      <c r="WG260" s="35"/>
      <c r="WH260" s="35"/>
      <c r="WI260" s="35"/>
      <c r="WJ260" s="35"/>
      <c r="WK260" s="35"/>
      <c r="WL260" s="35"/>
      <c r="WM260" s="35"/>
      <c r="WN260" s="35"/>
      <c r="WO260" s="35"/>
      <c r="WP260" s="35"/>
      <c r="WQ260" s="35"/>
      <c r="WR260" s="35"/>
      <c r="WS260" s="35"/>
      <c r="WT260" s="35"/>
      <c r="WU260" s="35"/>
      <c r="WV260" s="35"/>
      <c r="WW260" s="35"/>
      <c r="WX260" s="35"/>
      <c r="WY260" s="35"/>
      <c r="WZ260" s="35"/>
      <c r="XA260" s="35"/>
      <c r="XB260" s="35"/>
      <c r="XC260" s="35"/>
      <c r="XD260" s="35"/>
      <c r="XE260" s="35"/>
      <c r="XF260" s="35"/>
      <c r="XG260" s="35"/>
      <c r="XH260" s="35"/>
      <c r="XI260" s="35"/>
      <c r="XJ260" s="35"/>
      <c r="XK260" s="35"/>
      <c r="XL260" s="35"/>
      <c r="XM260" s="35"/>
      <c r="XN260" s="35"/>
      <c r="XO260" s="35"/>
      <c r="XP260" s="35"/>
      <c r="XQ260" s="35"/>
      <c r="XR260" s="35"/>
      <c r="XS260" s="35"/>
      <c r="XT260" s="35"/>
      <c r="XU260" s="35"/>
      <c r="XV260" s="35"/>
      <c r="XW260" s="35"/>
      <c r="XX260" s="35"/>
      <c r="XY260" s="35"/>
      <c r="XZ260" s="35"/>
      <c r="YA260" s="35"/>
      <c r="YB260" s="35"/>
      <c r="YC260" s="35"/>
      <c r="YD260" s="35"/>
      <c r="YE260" s="35"/>
      <c r="YF260" s="35"/>
      <c r="YG260" s="35"/>
      <c r="YH260" s="35"/>
      <c r="YI260" s="35"/>
      <c r="YJ260" s="35"/>
      <c r="YK260" s="35"/>
      <c r="YL260" s="35"/>
      <c r="YM260" s="35"/>
      <c r="YN260" s="35"/>
      <c r="YO260" s="35"/>
      <c r="YP260" s="35"/>
      <c r="YQ260" s="35"/>
      <c r="YR260" s="35"/>
      <c r="YS260" s="35"/>
      <c r="YT260" s="35"/>
      <c r="YU260" s="35"/>
      <c r="YV260" s="35"/>
      <c r="YW260" s="35"/>
      <c r="YX260" s="35"/>
      <c r="YY260" s="35"/>
      <c r="YZ260" s="35"/>
      <c r="ZA260" s="35"/>
      <c r="ZB260" s="35"/>
      <c r="ZC260" s="35"/>
      <c r="ZD260" s="35"/>
      <c r="ZE260" s="35"/>
      <c r="ZF260" s="35"/>
      <c r="ZG260" s="35"/>
      <c r="ZH260" s="35"/>
      <c r="ZI260" s="35"/>
      <c r="ZJ260" s="35"/>
      <c r="ZK260" s="35"/>
      <c r="ZL260" s="35"/>
      <c r="ZM260" s="35"/>
      <c r="ZN260" s="35"/>
      <c r="ZO260" s="35"/>
      <c r="ZP260" s="35"/>
      <c r="ZQ260" s="35"/>
      <c r="ZR260" s="35"/>
      <c r="ZS260" s="35"/>
      <c r="ZT260" s="35"/>
      <c r="ZU260" s="35"/>
      <c r="ZV260" s="35"/>
      <c r="ZW260" s="35"/>
      <c r="ZX260" s="35"/>
      <c r="ZY260" s="35"/>
      <c r="ZZ260" s="35"/>
      <c r="AAA260" s="35"/>
      <c r="AAB260" s="35"/>
      <c r="AAC260" s="35"/>
      <c r="AAD260" s="35"/>
      <c r="AAE260" s="35"/>
      <c r="AAF260" s="35"/>
      <c r="AAG260" s="35"/>
      <c r="AAH260" s="35"/>
      <c r="AAI260" s="35"/>
      <c r="AAJ260" s="35"/>
      <c r="AAK260" s="35"/>
      <c r="AAL260" s="35"/>
      <c r="AAM260" s="35"/>
      <c r="AAN260" s="35"/>
      <c r="AAO260" s="35"/>
      <c r="AAP260" s="35"/>
      <c r="AAQ260" s="35"/>
      <c r="AAR260" s="35"/>
      <c r="AAS260" s="35"/>
      <c r="AAT260" s="35"/>
      <c r="AAU260" s="35"/>
      <c r="AAV260" s="35"/>
      <c r="AAW260" s="35"/>
      <c r="AAX260" s="35"/>
      <c r="AAY260" s="35"/>
      <c r="AAZ260" s="35"/>
      <c r="ABA260" s="35"/>
      <c r="ABB260" s="35"/>
      <c r="ABC260" s="35"/>
      <c r="ABD260" s="35"/>
      <c r="ABE260" s="35"/>
      <c r="ABF260" s="35"/>
      <c r="ABG260" s="35"/>
      <c r="ABH260" s="35"/>
      <c r="ABI260" s="35"/>
      <c r="ABJ260" s="35"/>
      <c r="ABK260" s="35"/>
      <c r="ABL260" s="35"/>
      <c r="ABM260" s="35"/>
      <c r="ABN260" s="35"/>
      <c r="ABO260" s="35"/>
      <c r="ABP260" s="35"/>
      <c r="ABQ260" s="35"/>
      <c r="ABR260" s="35"/>
      <c r="ABS260" s="35"/>
      <c r="ABT260" s="35"/>
      <c r="ABU260" s="35"/>
      <c r="ABV260" s="35"/>
      <c r="ABW260" s="35"/>
      <c r="ABX260" s="35"/>
      <c r="ABY260" s="35"/>
      <c r="ABZ260" s="35"/>
      <c r="ACA260" s="35"/>
      <c r="ACB260" s="35"/>
      <c r="ACC260" s="35"/>
      <c r="ACD260" s="35"/>
      <c r="ACE260" s="35"/>
      <c r="ACF260" s="35"/>
      <c r="ACG260" s="35"/>
      <c r="ACH260" s="35"/>
      <c r="ACI260" s="35"/>
      <c r="ACJ260" s="35"/>
      <c r="ACK260" s="35"/>
      <c r="ACL260" s="35"/>
      <c r="ACM260" s="35"/>
      <c r="ACN260" s="35"/>
      <c r="ACO260" s="35"/>
      <c r="ACP260" s="35"/>
      <c r="ACQ260" s="35"/>
      <c r="ACR260" s="35"/>
      <c r="ACS260" s="35"/>
      <c r="ACT260" s="35"/>
      <c r="ACU260" s="35"/>
      <c r="ACV260" s="35"/>
      <c r="ACW260" s="35"/>
      <c r="ACX260" s="35"/>
      <c r="ACY260" s="35"/>
      <c r="ACZ260" s="35"/>
      <c r="ADA260" s="35"/>
      <c r="ADB260" s="35"/>
      <c r="ADC260" s="35"/>
      <c r="ADD260" s="35"/>
      <c r="ADE260" s="35"/>
      <c r="ADF260" s="35"/>
      <c r="ADG260" s="35"/>
      <c r="ADH260" s="35"/>
      <c r="ADI260" s="35"/>
      <c r="ADJ260" s="35"/>
      <c r="ADK260" s="35"/>
      <c r="ADL260" s="35"/>
      <c r="ADM260" s="35"/>
      <c r="ADN260" s="35"/>
      <c r="ADO260" s="35"/>
      <c r="ADP260" s="35"/>
      <c r="ADQ260" s="35"/>
      <c r="ADR260" s="35"/>
      <c r="ADS260" s="35"/>
      <c r="ADT260" s="35"/>
      <c r="ADU260" s="35"/>
      <c r="ADV260" s="35"/>
      <c r="ADW260" s="35"/>
      <c r="ADX260" s="35"/>
      <c r="ADY260" s="35"/>
      <c r="ADZ260" s="35"/>
      <c r="AEA260" s="35"/>
      <c r="AEB260" s="35"/>
      <c r="AEC260" s="35"/>
      <c r="AED260" s="35"/>
      <c r="AEE260" s="35"/>
      <c r="AEF260" s="35"/>
      <c r="AEG260" s="35"/>
      <c r="AEH260" s="35"/>
      <c r="AEI260" s="35"/>
      <c r="AEJ260" s="35"/>
      <c r="AEK260" s="35"/>
      <c r="AEL260" s="35"/>
      <c r="AEM260" s="35"/>
      <c r="AEN260" s="35"/>
      <c r="AEO260" s="35"/>
      <c r="AEP260" s="35"/>
      <c r="AEQ260" s="35"/>
      <c r="AER260" s="35"/>
      <c r="AES260" s="35"/>
      <c r="AET260" s="35"/>
      <c r="AEU260" s="35"/>
      <c r="AEV260" s="35"/>
      <c r="AEW260" s="35"/>
      <c r="AEX260" s="35"/>
      <c r="AEY260" s="35"/>
      <c r="AEZ260" s="35"/>
      <c r="AFA260" s="35"/>
      <c r="AFB260" s="35"/>
      <c r="AFC260" s="35"/>
      <c r="AFD260" s="35"/>
      <c r="AFE260" s="35"/>
      <c r="AFF260" s="35"/>
      <c r="AFG260" s="35"/>
      <c r="AFH260" s="35"/>
      <c r="AFI260" s="35"/>
      <c r="AFJ260" s="35"/>
      <c r="AFK260" s="35"/>
      <c r="AFL260" s="35"/>
      <c r="AFM260" s="35"/>
      <c r="AFN260" s="35"/>
      <c r="AFO260" s="35"/>
      <c r="AFP260" s="35"/>
      <c r="AFQ260" s="35"/>
      <c r="AFR260" s="35"/>
      <c r="AFS260" s="35"/>
      <c r="AFT260" s="35"/>
      <c r="AFU260" s="35"/>
      <c r="AFV260" s="35"/>
      <c r="AFW260" s="35"/>
      <c r="AFX260" s="35"/>
      <c r="AFY260" s="35"/>
      <c r="AFZ260" s="35"/>
      <c r="AGA260" s="35"/>
      <c r="AGB260" s="35"/>
      <c r="AGC260" s="35"/>
      <c r="AGD260" s="35"/>
      <c r="AGE260" s="35"/>
      <c r="AGF260" s="35"/>
      <c r="AGG260" s="35"/>
      <c r="AGH260" s="35"/>
      <c r="AGI260" s="35"/>
      <c r="AGJ260" s="35"/>
      <c r="AGK260" s="35"/>
      <c r="AGL260" s="35"/>
      <c r="AGM260" s="35"/>
      <c r="AGN260" s="35"/>
      <c r="AGO260" s="35"/>
      <c r="AGP260" s="35"/>
      <c r="AGQ260" s="35"/>
      <c r="AGR260" s="35"/>
      <c r="AGS260" s="35"/>
      <c r="AGT260" s="35"/>
      <c r="AGU260" s="35"/>
      <c r="AGV260" s="35"/>
      <c r="AGW260" s="35"/>
      <c r="AGX260" s="35"/>
      <c r="AGY260" s="35"/>
      <c r="AGZ260" s="35"/>
      <c r="AHA260" s="35"/>
      <c r="AHB260" s="35"/>
      <c r="AHC260" s="35"/>
      <c r="AHD260" s="35"/>
      <c r="AHE260" s="35"/>
      <c r="AHF260" s="35"/>
      <c r="AHG260" s="35"/>
      <c r="AHH260" s="35"/>
      <c r="AHI260" s="35"/>
      <c r="AHJ260" s="35"/>
      <c r="AHK260" s="35"/>
      <c r="AHL260" s="35"/>
      <c r="AHM260" s="35"/>
      <c r="AHN260" s="35"/>
      <c r="AHO260" s="35"/>
      <c r="AHP260" s="35"/>
      <c r="AHQ260" s="35"/>
      <c r="AHR260" s="35"/>
      <c r="AHS260" s="35"/>
      <c r="AHT260" s="35"/>
      <c r="AHU260" s="35"/>
      <c r="AHV260" s="35"/>
      <c r="AHW260" s="35"/>
      <c r="AHX260" s="35"/>
      <c r="AHY260" s="35"/>
      <c r="AHZ260" s="35"/>
      <c r="AIA260" s="35"/>
      <c r="AIB260" s="35"/>
      <c r="AIC260" s="35"/>
      <c r="AID260" s="35"/>
      <c r="AIE260" s="35"/>
      <c r="AIF260" s="35"/>
      <c r="AIG260" s="35"/>
      <c r="AIH260" s="35"/>
      <c r="AII260" s="35"/>
      <c r="AIJ260" s="35"/>
      <c r="AIK260" s="35"/>
      <c r="AIL260" s="35"/>
      <c r="AIM260" s="35"/>
      <c r="AIN260" s="35"/>
      <c r="AIO260" s="35"/>
      <c r="AIP260" s="35"/>
      <c r="AIQ260" s="35"/>
      <c r="AIR260" s="35"/>
      <c r="AIS260" s="35"/>
      <c r="AIT260" s="35"/>
      <c r="AIU260" s="35"/>
      <c r="AIV260" s="35"/>
      <c r="AIW260" s="35"/>
      <c r="AIX260" s="35"/>
      <c r="AIY260" s="35"/>
      <c r="AIZ260" s="35"/>
      <c r="AJA260" s="35"/>
      <c r="AJB260" s="35"/>
      <c r="AJC260" s="35"/>
      <c r="AJD260" s="35"/>
      <c r="AJE260" s="35"/>
      <c r="AJF260" s="35"/>
      <c r="AJG260" s="35"/>
      <c r="AJH260" s="35"/>
      <c r="AJI260" s="35"/>
      <c r="AJJ260" s="35"/>
      <c r="AJK260" s="35"/>
      <c r="AJL260" s="35"/>
      <c r="AJM260" s="35"/>
      <c r="AJN260" s="35"/>
      <c r="AJO260" s="35"/>
      <c r="AJP260" s="35"/>
      <c r="AJQ260" s="35"/>
      <c r="AJR260" s="35"/>
      <c r="AJS260" s="35"/>
      <c r="AJT260" s="35"/>
      <c r="AJU260" s="35"/>
      <c r="AJV260" s="35"/>
      <c r="AJW260" s="35"/>
      <c r="AJX260" s="35"/>
      <c r="AJY260" s="35"/>
      <c r="AJZ260" s="35"/>
      <c r="AKA260" s="35"/>
      <c r="AKB260" s="35"/>
      <c r="AKC260" s="35"/>
      <c r="AKD260" s="35"/>
      <c r="AKE260" s="35"/>
      <c r="AKF260" s="35"/>
      <c r="AKG260" s="35"/>
      <c r="AKH260" s="35"/>
      <c r="AKI260" s="35"/>
      <c r="AKJ260" s="35"/>
      <c r="AKK260" s="35"/>
      <c r="AKL260" s="35"/>
      <c r="AKM260" s="35"/>
      <c r="AKN260" s="35"/>
      <c r="AKO260" s="35"/>
      <c r="AKP260" s="35"/>
      <c r="AKQ260" s="35"/>
      <c r="AKR260" s="35"/>
      <c r="AKS260" s="35"/>
      <c r="AKT260" s="35"/>
      <c r="AKU260" s="35"/>
      <c r="AKV260" s="35"/>
      <c r="AKW260" s="35"/>
      <c r="AKX260" s="35"/>
      <c r="AKY260" s="35"/>
      <c r="AKZ260" s="35"/>
      <c r="ALA260" s="35"/>
      <c r="ALB260" s="35"/>
      <c r="ALC260" s="35"/>
      <c r="ALD260" s="35"/>
      <c r="ALE260" s="35"/>
      <c r="ALF260" s="35"/>
      <c r="ALG260" s="35"/>
      <c r="ALH260" s="35"/>
      <c r="ALI260" s="35"/>
      <c r="ALJ260" s="35"/>
      <c r="ALK260" s="35"/>
      <c r="ALL260" s="35"/>
      <c r="ALM260" s="35"/>
      <c r="ALN260" s="35"/>
      <c r="ALO260" s="35"/>
      <c r="ALP260" s="35"/>
      <c r="ALQ260" s="35"/>
      <c r="ALR260" s="35"/>
      <c r="ALS260" s="35"/>
      <c r="ALT260" s="35"/>
      <c r="ALU260" s="35"/>
      <c r="ALV260" s="35"/>
      <c r="ALW260" s="35"/>
      <c r="ALX260" s="35"/>
      <c r="ALY260" s="35"/>
      <c r="ALZ260" s="35"/>
      <c r="AMA260" s="35"/>
      <c r="AMB260" s="35"/>
      <c r="AMC260" s="35"/>
      <c r="AMD260" s="35"/>
      <c r="AME260" s="35"/>
      <c r="AMF260" s="35"/>
      <c r="AMG260" s="35"/>
      <c r="AMH260" s="35"/>
      <c r="AMI260" s="35"/>
      <c r="AMJ260" s="35"/>
      <c r="AMK260" s="35"/>
      <c r="AML260" s="35"/>
      <c r="AMM260" s="35"/>
      <c r="AMN260" s="35"/>
      <c r="AMO260" s="35"/>
      <c r="AMP260" s="35"/>
      <c r="AMQ260" s="35"/>
      <c r="AMR260" s="35"/>
      <c r="AMS260" s="35"/>
      <c r="AMT260" s="35"/>
      <c r="AMU260" s="35"/>
      <c r="AMV260" s="35"/>
      <c r="AMW260" s="35"/>
      <c r="AMX260" s="35"/>
      <c r="AMY260" s="35"/>
      <c r="AMZ260" s="35"/>
      <c r="ANA260" s="35"/>
      <c r="ANB260" s="35"/>
      <c r="ANC260" s="35"/>
      <c r="AND260" s="35"/>
      <c r="ANE260" s="35"/>
      <c r="ANF260" s="35"/>
      <c r="ANG260" s="35"/>
      <c r="ANH260" s="35"/>
      <c r="ANI260" s="35"/>
      <c r="ANJ260" s="35"/>
      <c r="ANK260" s="35"/>
      <c r="ANL260" s="35"/>
      <c r="ANM260" s="35"/>
      <c r="ANN260" s="35"/>
      <c r="ANO260" s="35"/>
      <c r="ANP260" s="35"/>
      <c r="ANQ260" s="35"/>
      <c r="ANR260" s="35"/>
      <c r="ANS260" s="35"/>
      <c r="ANT260" s="35"/>
      <c r="ANU260" s="35"/>
      <c r="ANV260" s="35"/>
      <c r="ANW260" s="35"/>
      <c r="ANX260" s="35"/>
      <c r="ANY260" s="35"/>
      <c r="ANZ260" s="35"/>
      <c r="AOA260" s="35"/>
      <c r="AOB260" s="35"/>
      <c r="AOC260" s="35"/>
      <c r="AOD260" s="35"/>
      <c r="AOE260" s="35"/>
      <c r="AOF260" s="35"/>
      <c r="AOG260" s="35"/>
      <c r="AOH260" s="35"/>
      <c r="AOI260" s="35"/>
      <c r="AOJ260" s="35"/>
      <c r="AOK260" s="35"/>
      <c r="AOL260" s="35"/>
      <c r="AOM260" s="35"/>
      <c r="AON260" s="35"/>
      <c r="AOO260" s="35"/>
      <c r="AOP260" s="35"/>
      <c r="AOQ260" s="35"/>
      <c r="AOR260" s="35"/>
      <c r="AOS260" s="35"/>
      <c r="AOT260" s="35"/>
      <c r="AOU260" s="35"/>
      <c r="AOV260" s="35"/>
      <c r="AOW260" s="35"/>
      <c r="AOX260" s="35"/>
      <c r="AOY260" s="35"/>
      <c r="AOZ260" s="35"/>
      <c r="APA260" s="35"/>
      <c r="APB260" s="35"/>
      <c r="APC260" s="35"/>
      <c r="APD260" s="35"/>
      <c r="APE260" s="35"/>
      <c r="APF260" s="35"/>
      <c r="APG260" s="35"/>
      <c r="APH260" s="35"/>
      <c r="API260" s="35"/>
      <c r="APJ260" s="35"/>
      <c r="APK260" s="35"/>
      <c r="APL260" s="35"/>
      <c r="APM260" s="35"/>
      <c r="APN260" s="35"/>
      <c r="APO260" s="35"/>
      <c r="APP260" s="35"/>
      <c r="APQ260" s="35"/>
      <c r="APR260" s="35"/>
      <c r="APS260" s="35"/>
      <c r="APT260" s="35"/>
      <c r="APU260" s="35"/>
      <c r="APV260" s="35"/>
      <c r="APW260" s="35"/>
      <c r="APX260" s="35"/>
      <c r="APY260" s="35"/>
      <c r="APZ260" s="35"/>
      <c r="AQA260" s="35"/>
      <c r="AQB260" s="35"/>
      <c r="AQC260" s="35"/>
      <c r="AQD260" s="35"/>
      <c r="AQE260" s="35"/>
      <c r="AQF260" s="35"/>
      <c r="AQG260" s="35"/>
      <c r="AQH260" s="35"/>
      <c r="AQI260" s="35"/>
      <c r="AQJ260" s="35"/>
      <c r="AQK260" s="35"/>
      <c r="AQL260" s="35"/>
      <c r="AQM260" s="35"/>
      <c r="AQN260" s="35"/>
      <c r="AQO260" s="35"/>
      <c r="AQP260" s="35"/>
      <c r="AQQ260" s="35"/>
      <c r="AQR260" s="35"/>
      <c r="AQS260" s="35"/>
      <c r="AQT260" s="35"/>
      <c r="AQU260" s="35"/>
      <c r="AQV260" s="35"/>
      <c r="AQW260" s="35"/>
      <c r="AQX260" s="35"/>
      <c r="AQY260" s="35"/>
      <c r="AQZ260" s="35"/>
      <c r="ARA260" s="35"/>
      <c r="ARB260" s="35"/>
      <c r="ARC260" s="35"/>
      <c r="ARD260" s="35"/>
      <c r="ARE260" s="35"/>
      <c r="ARF260" s="35"/>
      <c r="ARG260" s="35"/>
      <c r="ARH260" s="35"/>
      <c r="ARI260" s="35"/>
      <c r="ARJ260" s="35"/>
      <c r="ARK260" s="35"/>
      <c r="ARL260" s="35"/>
      <c r="ARM260" s="35"/>
      <c r="ARN260" s="35"/>
      <c r="ARO260" s="35"/>
      <c r="ARP260" s="35"/>
      <c r="ARQ260" s="35"/>
      <c r="ARR260" s="35"/>
      <c r="ARS260" s="35"/>
      <c r="ART260" s="35"/>
      <c r="ARU260" s="35"/>
      <c r="ARV260" s="35"/>
      <c r="ARW260" s="35"/>
      <c r="ARX260" s="35"/>
      <c r="ARY260" s="35"/>
      <c r="ARZ260" s="35"/>
      <c r="ASA260" s="35"/>
      <c r="ASB260" s="35"/>
      <c r="ASC260" s="35"/>
      <c r="ASD260" s="35"/>
      <c r="ASE260" s="35"/>
      <c r="ASF260" s="35"/>
      <c r="ASG260" s="35"/>
      <c r="ASH260" s="35"/>
      <c r="ASI260" s="35"/>
      <c r="ASJ260" s="35"/>
      <c r="ASK260" s="35"/>
      <c r="ASL260" s="35"/>
      <c r="ASM260" s="35"/>
      <c r="ASN260" s="35"/>
      <c r="ASO260" s="35"/>
      <c r="ASP260" s="35"/>
      <c r="ASQ260" s="35"/>
      <c r="ASR260" s="35"/>
      <c r="ASS260" s="35"/>
      <c r="AST260" s="35"/>
      <c r="ASU260" s="35"/>
      <c r="ASV260" s="35"/>
      <c r="ASW260" s="35"/>
      <c r="ASX260" s="35"/>
      <c r="ASY260" s="35"/>
      <c r="ASZ260" s="35"/>
      <c r="ATA260" s="35"/>
      <c r="ATB260" s="35"/>
      <c r="ATC260" s="35"/>
      <c r="ATD260" s="35"/>
      <c r="ATE260" s="35"/>
      <c r="ATF260" s="35"/>
      <c r="ATG260" s="35"/>
      <c r="ATH260" s="35"/>
      <c r="ATI260" s="35"/>
      <c r="ATJ260" s="35"/>
      <c r="ATK260" s="35"/>
      <c r="ATL260" s="35"/>
      <c r="ATM260" s="35"/>
      <c r="ATN260" s="35"/>
      <c r="ATO260" s="35"/>
      <c r="ATP260" s="35"/>
      <c r="ATQ260" s="35"/>
      <c r="ATR260" s="35"/>
      <c r="ATS260" s="35"/>
      <c r="ATT260" s="35"/>
      <c r="ATU260" s="35"/>
      <c r="ATV260" s="35"/>
      <c r="ATW260" s="35"/>
      <c r="ATX260" s="35"/>
      <c r="ATY260" s="35"/>
      <c r="ATZ260" s="35"/>
      <c r="AUA260" s="35"/>
      <c r="AUB260" s="35"/>
      <c r="AUC260" s="35"/>
      <c r="AUD260" s="35"/>
      <c r="AUE260" s="35"/>
      <c r="AUF260" s="35"/>
      <c r="AUG260" s="35"/>
      <c r="AUH260" s="35"/>
      <c r="AUI260" s="35"/>
      <c r="AUJ260" s="35"/>
      <c r="AUK260" s="35"/>
      <c r="AUL260" s="35"/>
      <c r="AUM260" s="35"/>
      <c r="AUN260" s="35"/>
      <c r="AUO260" s="35"/>
      <c r="AUP260" s="35"/>
      <c r="AUQ260" s="35"/>
      <c r="AUR260" s="35"/>
      <c r="AUS260" s="35"/>
      <c r="AUT260" s="35"/>
      <c r="AUU260" s="35"/>
      <c r="AUV260" s="35"/>
      <c r="AUW260" s="35"/>
      <c r="AUX260" s="35"/>
      <c r="AUY260" s="35"/>
      <c r="AUZ260" s="35"/>
      <c r="AVA260" s="35"/>
      <c r="AVB260" s="35"/>
      <c r="AVC260" s="35"/>
      <c r="AVD260" s="35"/>
      <c r="AVE260" s="35"/>
      <c r="AVF260" s="35"/>
      <c r="AVG260" s="35"/>
      <c r="AVH260" s="35"/>
      <c r="AVI260" s="35"/>
      <c r="AVJ260" s="35"/>
      <c r="AVK260" s="35"/>
      <c r="AVL260" s="35"/>
      <c r="AVM260" s="35"/>
      <c r="AVN260" s="35"/>
      <c r="AVO260" s="35"/>
      <c r="AVP260" s="35"/>
      <c r="AVQ260" s="35"/>
      <c r="AVR260" s="35"/>
      <c r="AVS260" s="35"/>
      <c r="AVT260" s="35"/>
      <c r="AVU260" s="35"/>
      <c r="AVV260" s="35"/>
      <c r="AVW260" s="35"/>
      <c r="AVX260" s="35"/>
      <c r="AVY260" s="35"/>
      <c r="AVZ260" s="35"/>
      <c r="AWA260" s="35"/>
      <c r="AWB260" s="35"/>
      <c r="AWC260" s="35"/>
      <c r="AWD260" s="35"/>
      <c r="AWE260" s="35"/>
      <c r="AWF260" s="35"/>
      <c r="AWG260" s="35"/>
      <c r="AWH260" s="35"/>
      <c r="AWI260" s="35"/>
      <c r="AWJ260" s="35"/>
      <c r="AWK260" s="35"/>
      <c r="AWL260" s="35"/>
      <c r="AWM260" s="35"/>
      <c r="AWN260" s="35"/>
      <c r="AWO260" s="35"/>
      <c r="AWP260" s="35"/>
      <c r="AWQ260" s="35"/>
      <c r="AWR260" s="35"/>
      <c r="AWS260" s="35"/>
      <c r="AWT260" s="35"/>
      <c r="AWU260" s="35"/>
      <c r="AWV260" s="35"/>
      <c r="AWW260" s="35"/>
      <c r="AWX260" s="35"/>
      <c r="AWY260" s="35"/>
      <c r="AWZ260" s="35"/>
      <c r="AXA260" s="35"/>
      <c r="AXB260" s="35"/>
      <c r="AXC260" s="35"/>
      <c r="AXD260" s="35"/>
      <c r="AXE260" s="35"/>
      <c r="AXF260" s="35"/>
      <c r="AXG260" s="35"/>
      <c r="AXH260" s="35"/>
      <c r="AXI260" s="35"/>
      <c r="AXJ260" s="35"/>
      <c r="AXK260" s="35"/>
      <c r="AXL260" s="35"/>
      <c r="AXM260" s="35"/>
      <c r="AXN260" s="35"/>
      <c r="AXO260" s="35"/>
      <c r="AXP260" s="35"/>
      <c r="AXQ260" s="35"/>
      <c r="AXR260" s="35"/>
      <c r="AXS260" s="35"/>
      <c r="AXT260" s="35"/>
      <c r="AXU260" s="35"/>
      <c r="AXV260" s="35"/>
      <c r="AXW260" s="35"/>
      <c r="AXX260" s="35"/>
      <c r="AXY260" s="35"/>
      <c r="AXZ260" s="35"/>
      <c r="AYA260" s="35"/>
      <c r="AYB260" s="35"/>
      <c r="AYC260" s="35"/>
      <c r="AYD260" s="35"/>
      <c r="AYE260" s="35"/>
      <c r="AYF260" s="35"/>
      <c r="AYG260" s="35"/>
      <c r="AYH260" s="35"/>
      <c r="AYI260" s="35"/>
      <c r="AYJ260" s="35"/>
      <c r="AYK260" s="35"/>
      <c r="AYL260" s="35"/>
      <c r="AYM260" s="35"/>
      <c r="AYN260" s="35"/>
      <c r="AYO260" s="35"/>
      <c r="AYP260" s="35"/>
      <c r="AYQ260" s="35"/>
      <c r="AYR260" s="35"/>
      <c r="AYS260" s="35"/>
      <c r="AYT260" s="35"/>
      <c r="AYU260" s="35"/>
      <c r="AYV260" s="35"/>
      <c r="AYW260" s="35"/>
      <c r="AYX260" s="35"/>
      <c r="AYY260" s="35"/>
      <c r="AYZ260" s="35"/>
      <c r="AZA260" s="35"/>
      <c r="AZB260" s="35"/>
      <c r="AZC260" s="35"/>
      <c r="AZD260" s="35"/>
      <c r="AZE260" s="35"/>
      <c r="AZF260" s="35"/>
      <c r="AZG260" s="35"/>
      <c r="AZH260" s="35"/>
      <c r="AZI260" s="35"/>
      <c r="AZJ260" s="35"/>
      <c r="AZK260" s="35"/>
      <c r="AZL260" s="35"/>
      <c r="AZM260" s="35"/>
      <c r="AZN260" s="35"/>
      <c r="AZO260" s="35"/>
      <c r="AZP260" s="35"/>
      <c r="AZQ260" s="35"/>
      <c r="AZR260" s="35"/>
      <c r="AZS260" s="35"/>
      <c r="AZT260" s="35"/>
      <c r="AZU260" s="35"/>
      <c r="AZV260" s="35"/>
      <c r="AZW260" s="35"/>
      <c r="AZX260" s="35"/>
      <c r="AZY260" s="35"/>
      <c r="AZZ260" s="35"/>
      <c r="BAA260" s="35"/>
      <c r="BAB260" s="35"/>
      <c r="BAC260" s="35"/>
      <c r="BAD260" s="35"/>
      <c r="BAE260" s="35"/>
      <c r="BAF260" s="35"/>
      <c r="BAG260" s="35"/>
      <c r="BAH260" s="35"/>
      <c r="BAI260" s="35"/>
      <c r="BAJ260" s="35"/>
      <c r="BAK260" s="35"/>
      <c r="BAL260" s="35"/>
      <c r="BAM260" s="35"/>
      <c r="BAN260" s="35"/>
      <c r="BAO260" s="35"/>
      <c r="BAP260" s="35"/>
      <c r="BAQ260" s="35"/>
      <c r="BAR260" s="35"/>
      <c r="BAS260" s="35"/>
      <c r="BAT260" s="35"/>
      <c r="BAU260" s="35"/>
      <c r="BAV260" s="35"/>
      <c r="BAW260" s="35"/>
      <c r="BAX260" s="35"/>
      <c r="BAY260" s="35"/>
      <c r="BAZ260" s="35"/>
      <c r="BBA260" s="35"/>
      <c r="BBB260" s="35"/>
      <c r="BBC260" s="35"/>
      <c r="BBD260" s="35"/>
      <c r="BBE260" s="35"/>
      <c r="BBF260" s="35"/>
      <c r="BBG260" s="35"/>
      <c r="BBH260" s="35"/>
      <c r="BBI260" s="35"/>
      <c r="BBJ260" s="35"/>
      <c r="BBK260" s="35"/>
      <c r="BBL260" s="35"/>
      <c r="BBM260" s="35"/>
      <c r="BBN260" s="35"/>
      <c r="BBO260" s="35"/>
      <c r="BBP260" s="35"/>
      <c r="BBQ260" s="35"/>
      <c r="BBR260" s="35"/>
      <c r="BBS260" s="35"/>
      <c r="BBT260" s="35"/>
      <c r="BBU260" s="35"/>
      <c r="BBV260" s="35"/>
      <c r="BBW260" s="35"/>
      <c r="BBX260" s="35"/>
      <c r="BBY260" s="35"/>
      <c r="BBZ260" s="35"/>
      <c r="BCA260" s="35"/>
      <c r="BCB260" s="35"/>
      <c r="BCC260" s="35"/>
      <c r="BCD260" s="35"/>
      <c r="BCE260" s="35"/>
      <c r="BCF260" s="35"/>
      <c r="BCG260" s="35"/>
      <c r="BCH260" s="35"/>
      <c r="BCI260" s="35"/>
      <c r="BCJ260" s="35"/>
      <c r="BCK260" s="35"/>
      <c r="BCL260" s="35"/>
      <c r="BCM260" s="35"/>
      <c r="BCN260" s="35"/>
      <c r="BCO260" s="35"/>
      <c r="BCP260" s="35"/>
      <c r="BCQ260" s="35"/>
      <c r="BCR260" s="35"/>
      <c r="BCS260" s="35"/>
      <c r="BCT260" s="35"/>
      <c r="BCU260" s="35"/>
      <c r="BCV260" s="35"/>
      <c r="BCW260" s="35"/>
      <c r="BCX260" s="35"/>
      <c r="BCY260" s="35"/>
      <c r="BCZ260" s="35"/>
      <c r="BDA260" s="35"/>
      <c r="BDB260" s="35"/>
      <c r="BDC260" s="35"/>
      <c r="BDD260" s="35"/>
      <c r="BDE260" s="35"/>
      <c r="BDF260" s="35"/>
      <c r="BDG260" s="35"/>
      <c r="BDH260" s="35"/>
      <c r="BDI260" s="35"/>
      <c r="BDJ260" s="35"/>
      <c r="BDK260" s="35"/>
      <c r="BDL260" s="35"/>
      <c r="BDM260" s="35"/>
      <c r="BDN260" s="35"/>
      <c r="BDO260" s="35"/>
      <c r="BDP260" s="35"/>
      <c r="BDQ260" s="35"/>
      <c r="BDR260" s="35"/>
      <c r="BDS260" s="35"/>
      <c r="BDT260" s="35"/>
      <c r="BDU260" s="35"/>
      <c r="BDV260" s="35"/>
      <c r="BDW260" s="35"/>
      <c r="BDX260" s="35"/>
      <c r="BDY260" s="35"/>
      <c r="BDZ260" s="35"/>
      <c r="BEA260" s="35"/>
      <c r="BEB260" s="35"/>
      <c r="BEC260" s="35"/>
      <c r="BED260" s="35"/>
      <c r="BEE260" s="35"/>
      <c r="BEF260" s="35"/>
      <c r="BEG260" s="35"/>
      <c r="BEH260" s="35"/>
      <c r="BEI260" s="35"/>
      <c r="BEJ260" s="35"/>
      <c r="BEK260" s="35"/>
      <c r="BEL260" s="35"/>
      <c r="BEM260" s="35"/>
      <c r="BEN260" s="35"/>
      <c r="BEO260" s="35"/>
      <c r="BEP260" s="35"/>
      <c r="BEQ260" s="35"/>
      <c r="BER260" s="35"/>
      <c r="BES260" s="35"/>
      <c r="BET260" s="35"/>
      <c r="BEU260" s="35"/>
      <c r="BEV260" s="35"/>
      <c r="BEW260" s="35"/>
      <c r="BEX260" s="35"/>
      <c r="BEY260" s="35"/>
      <c r="BEZ260" s="35"/>
      <c r="BFA260" s="35"/>
      <c r="BFB260" s="35"/>
      <c r="BFC260" s="35"/>
      <c r="BFD260" s="35"/>
      <c r="BFE260" s="35"/>
      <c r="BFF260" s="35"/>
      <c r="BFG260" s="35"/>
      <c r="BFH260" s="35"/>
      <c r="BFI260" s="35"/>
      <c r="BFJ260" s="35"/>
      <c r="BFK260" s="35"/>
      <c r="BFL260" s="35"/>
      <c r="BFM260" s="35"/>
      <c r="BFN260" s="35"/>
      <c r="BFO260" s="35"/>
      <c r="BFP260" s="35"/>
      <c r="BFQ260" s="35"/>
      <c r="BFR260" s="35"/>
      <c r="BFS260" s="35"/>
      <c r="BFT260" s="35"/>
      <c r="BFU260" s="35"/>
      <c r="BFV260" s="35"/>
      <c r="BFW260" s="35"/>
      <c r="BFX260" s="35"/>
      <c r="BFY260" s="35"/>
      <c r="BFZ260" s="35"/>
      <c r="BGA260" s="35"/>
      <c r="BGB260" s="35"/>
      <c r="BGC260" s="35"/>
      <c r="BGD260" s="35"/>
      <c r="BGE260" s="35"/>
      <c r="BGF260" s="35"/>
      <c r="BGG260" s="35"/>
      <c r="BGH260" s="35"/>
      <c r="BGI260" s="35"/>
      <c r="BGJ260" s="35"/>
      <c r="BGK260" s="35"/>
      <c r="BGL260" s="35"/>
      <c r="BGM260" s="35"/>
      <c r="BGN260" s="35"/>
      <c r="BGO260" s="35"/>
      <c r="BGP260" s="35"/>
      <c r="BGQ260" s="35"/>
      <c r="BGR260" s="35"/>
      <c r="BGS260" s="35"/>
      <c r="BGT260" s="35"/>
      <c r="BGU260" s="35"/>
      <c r="BGV260" s="35"/>
      <c r="BGW260" s="35"/>
      <c r="BGX260" s="35"/>
      <c r="BGY260" s="35"/>
      <c r="BGZ260" s="35"/>
      <c r="BHA260" s="35"/>
      <c r="BHB260" s="35"/>
      <c r="BHC260" s="35"/>
      <c r="BHD260" s="35"/>
      <c r="BHE260" s="35"/>
      <c r="BHF260" s="35"/>
      <c r="BHG260" s="35"/>
      <c r="BHH260" s="35"/>
      <c r="BHI260" s="35"/>
      <c r="BHJ260" s="35"/>
      <c r="BHK260" s="35"/>
      <c r="BHL260" s="35"/>
      <c r="BHM260" s="35"/>
      <c r="BHN260" s="35"/>
      <c r="BHO260" s="35"/>
      <c r="BHP260" s="35"/>
      <c r="BHQ260" s="35"/>
      <c r="BHR260" s="35"/>
      <c r="BHS260" s="35"/>
      <c r="BHT260" s="35"/>
      <c r="BHU260" s="35"/>
      <c r="BHV260" s="35"/>
      <c r="BHW260" s="35"/>
      <c r="BHX260" s="35"/>
      <c r="BHY260" s="35"/>
      <c r="BHZ260" s="35"/>
      <c r="BIA260" s="35"/>
      <c r="BIB260" s="35"/>
      <c r="BIC260" s="35"/>
      <c r="BID260" s="35"/>
      <c r="BIE260" s="35"/>
      <c r="BIF260" s="35"/>
      <c r="BIG260" s="35"/>
      <c r="BIH260" s="35"/>
      <c r="BII260" s="35"/>
      <c r="BIJ260" s="35"/>
      <c r="BIK260" s="35"/>
      <c r="BIL260" s="35"/>
      <c r="BIM260" s="35"/>
      <c r="BIN260" s="35"/>
      <c r="BIO260" s="35"/>
      <c r="BIP260" s="35"/>
      <c r="BIQ260" s="35"/>
      <c r="BIR260" s="35"/>
      <c r="BIS260" s="35"/>
      <c r="BIT260" s="35"/>
      <c r="BIU260" s="35"/>
      <c r="BIV260" s="35"/>
      <c r="BIW260" s="35"/>
      <c r="BIX260" s="35"/>
      <c r="BIY260" s="35"/>
      <c r="BIZ260" s="35"/>
      <c r="BJA260" s="35"/>
      <c r="BJB260" s="35"/>
      <c r="BJC260" s="35"/>
      <c r="BJD260" s="35"/>
      <c r="BJE260" s="35"/>
      <c r="BJF260" s="35"/>
      <c r="BJG260" s="35"/>
      <c r="BJH260" s="35"/>
      <c r="BJI260" s="35"/>
      <c r="BJJ260" s="35"/>
      <c r="BJK260" s="35"/>
      <c r="BJL260" s="35"/>
      <c r="BJM260" s="35"/>
      <c r="BJN260" s="35"/>
      <c r="BJO260" s="35"/>
      <c r="BJP260" s="35"/>
      <c r="BJQ260" s="35"/>
      <c r="BJR260" s="35"/>
      <c r="BJS260" s="35"/>
      <c r="BJT260" s="35"/>
      <c r="BJU260" s="35"/>
      <c r="BJV260" s="35"/>
      <c r="BJW260" s="35"/>
      <c r="BJX260" s="35"/>
      <c r="BJY260" s="35"/>
      <c r="BJZ260" s="35"/>
      <c r="BKA260" s="35"/>
      <c r="BKB260" s="35"/>
      <c r="BKC260" s="35"/>
      <c r="BKD260" s="35"/>
      <c r="BKE260" s="35"/>
      <c r="BKF260" s="35"/>
      <c r="BKG260" s="35"/>
      <c r="BKH260" s="35"/>
      <c r="BKI260" s="35"/>
      <c r="BKJ260" s="35"/>
      <c r="BKK260" s="35"/>
      <c r="BKL260" s="35"/>
      <c r="BKM260" s="35"/>
      <c r="BKN260" s="35"/>
      <c r="BKO260" s="35"/>
      <c r="BKP260" s="35"/>
      <c r="BKQ260" s="35"/>
      <c r="BKR260" s="35"/>
      <c r="BKS260" s="35"/>
      <c r="BKT260" s="35"/>
      <c r="BKU260" s="35"/>
      <c r="BKV260" s="35"/>
      <c r="BKW260" s="35"/>
      <c r="BKX260" s="35"/>
      <c r="BKY260" s="35"/>
      <c r="BKZ260" s="35"/>
      <c r="BLA260" s="35"/>
      <c r="BLB260" s="35"/>
      <c r="BLC260" s="35"/>
      <c r="BLD260" s="35"/>
      <c r="BLE260" s="35"/>
      <c r="BLF260" s="35"/>
      <c r="BLG260" s="35"/>
      <c r="BLH260" s="35"/>
      <c r="BLI260" s="35"/>
      <c r="BLJ260" s="35"/>
      <c r="BLK260" s="35"/>
      <c r="BLL260" s="35"/>
      <c r="BLM260" s="35"/>
      <c r="BLN260" s="35"/>
      <c r="BLO260" s="35"/>
      <c r="BLP260" s="35"/>
      <c r="BLQ260" s="35"/>
      <c r="BLR260" s="35"/>
      <c r="BLS260" s="35"/>
      <c r="BLT260" s="35"/>
      <c r="BLU260" s="35"/>
      <c r="BLV260" s="35"/>
      <c r="BLW260" s="35"/>
      <c r="BLX260" s="35"/>
      <c r="BLY260" s="35"/>
      <c r="BLZ260" s="35"/>
      <c r="BMA260" s="35"/>
      <c r="BMB260" s="35"/>
      <c r="BMC260" s="35"/>
      <c r="BMD260" s="35"/>
      <c r="BME260" s="35"/>
      <c r="BMF260" s="35"/>
      <c r="BMG260" s="35"/>
      <c r="BMH260" s="35"/>
      <c r="BMI260" s="35"/>
      <c r="BMJ260" s="35"/>
      <c r="BMK260" s="35"/>
      <c r="BML260" s="35"/>
      <c r="BMM260" s="35"/>
      <c r="BMN260" s="35"/>
      <c r="BMO260" s="35"/>
      <c r="BMP260" s="35"/>
      <c r="BMQ260" s="35"/>
      <c r="BMR260" s="35"/>
      <c r="BMS260" s="35"/>
      <c r="BMT260" s="35"/>
      <c r="BMU260" s="35"/>
      <c r="BMV260" s="35"/>
      <c r="BMW260" s="35"/>
      <c r="BMX260" s="35"/>
      <c r="BMY260" s="35"/>
      <c r="BMZ260" s="35"/>
      <c r="BNA260" s="35"/>
      <c r="BNB260" s="35"/>
      <c r="BNC260" s="35"/>
      <c r="BND260" s="35"/>
      <c r="BNE260" s="35"/>
      <c r="BNF260" s="35"/>
      <c r="BNG260" s="35"/>
      <c r="BNH260" s="35"/>
      <c r="BNI260" s="35"/>
      <c r="BNJ260" s="35"/>
      <c r="BNK260" s="35"/>
      <c r="BNL260" s="35"/>
      <c r="BNM260" s="35"/>
      <c r="BNN260" s="35"/>
      <c r="BNO260" s="35"/>
      <c r="BNP260" s="35"/>
      <c r="BNQ260" s="35"/>
      <c r="BNR260" s="35"/>
      <c r="BNS260" s="35"/>
      <c r="BNT260" s="35"/>
      <c r="BNU260" s="35"/>
      <c r="BNV260" s="35"/>
      <c r="BNW260" s="35"/>
      <c r="BNX260" s="35"/>
      <c r="BNY260" s="35"/>
      <c r="BNZ260" s="35"/>
      <c r="BOA260" s="35"/>
      <c r="BOB260" s="35"/>
      <c r="BOC260" s="35"/>
      <c r="BOD260" s="35"/>
      <c r="BOE260" s="35"/>
      <c r="BOF260" s="35"/>
      <c r="BOG260" s="35"/>
      <c r="BOH260" s="35"/>
      <c r="BOI260" s="35"/>
      <c r="BOJ260" s="35"/>
      <c r="BOK260" s="35"/>
      <c r="BOL260" s="35"/>
      <c r="BOM260" s="35"/>
      <c r="BON260" s="35"/>
      <c r="BOO260" s="35"/>
      <c r="BOP260" s="35"/>
      <c r="BOQ260" s="35"/>
      <c r="BOR260" s="35"/>
      <c r="BOS260" s="35"/>
      <c r="BOT260" s="35"/>
      <c r="BOU260" s="35"/>
      <c r="BOV260" s="35"/>
      <c r="BOW260" s="35"/>
      <c r="BOX260" s="35"/>
      <c r="BOY260" s="35"/>
      <c r="BOZ260" s="35"/>
      <c r="BPA260" s="35"/>
      <c r="BPB260" s="35"/>
      <c r="BPC260" s="35"/>
      <c r="BPD260" s="35"/>
      <c r="BPE260" s="35"/>
      <c r="BPF260" s="35"/>
      <c r="BPG260" s="35"/>
      <c r="BPH260" s="35"/>
      <c r="BPI260" s="35"/>
      <c r="BPJ260" s="35"/>
      <c r="BPK260" s="35"/>
      <c r="BPL260" s="35"/>
      <c r="BPM260" s="35"/>
      <c r="BPN260" s="35"/>
      <c r="BPO260" s="35"/>
      <c r="BPP260" s="35"/>
      <c r="BPQ260" s="35"/>
      <c r="BPR260" s="35"/>
      <c r="BPS260" s="35"/>
      <c r="BPT260" s="35"/>
      <c r="BPU260" s="35"/>
      <c r="BPV260" s="35"/>
      <c r="BPW260" s="35"/>
      <c r="BPX260" s="35"/>
      <c r="BPY260" s="35"/>
      <c r="BPZ260" s="35"/>
      <c r="BQA260" s="35"/>
      <c r="BQB260" s="35"/>
      <c r="BQC260" s="35"/>
      <c r="BQD260" s="35"/>
      <c r="BQE260" s="35"/>
      <c r="BQF260" s="35"/>
      <c r="BQG260" s="35"/>
      <c r="BQH260" s="35"/>
      <c r="BQI260" s="35"/>
      <c r="BQJ260" s="35"/>
      <c r="BQK260" s="35"/>
      <c r="BQL260" s="35"/>
      <c r="BQM260" s="35"/>
      <c r="BQN260" s="35"/>
      <c r="BQO260" s="35"/>
      <c r="BQP260" s="35"/>
      <c r="BQQ260" s="35"/>
      <c r="BQR260" s="35"/>
      <c r="BQS260" s="35"/>
      <c r="BQT260" s="35"/>
      <c r="BQU260" s="35"/>
      <c r="BQV260" s="35"/>
      <c r="BQW260" s="35"/>
      <c r="BQX260" s="35"/>
      <c r="BQY260" s="35"/>
      <c r="BQZ260" s="35"/>
      <c r="BRA260" s="35"/>
      <c r="BRB260" s="35"/>
      <c r="BRC260" s="35"/>
      <c r="BRD260" s="35"/>
      <c r="BRE260" s="35"/>
      <c r="BRF260" s="35"/>
      <c r="BRG260" s="35"/>
      <c r="BRH260" s="35"/>
      <c r="BRI260" s="35"/>
      <c r="BRJ260" s="35"/>
      <c r="BRK260" s="35"/>
      <c r="BRL260" s="35"/>
      <c r="BRM260" s="35"/>
      <c r="BRN260" s="35"/>
      <c r="BRO260" s="35"/>
      <c r="BRP260" s="35"/>
      <c r="BRQ260" s="35"/>
      <c r="BRR260" s="35"/>
      <c r="BRS260" s="35"/>
      <c r="BRT260" s="35"/>
      <c r="BRU260" s="35"/>
      <c r="BRV260" s="35"/>
      <c r="BRW260" s="35"/>
      <c r="BRX260" s="35"/>
      <c r="BRY260" s="35"/>
      <c r="BRZ260" s="35"/>
      <c r="BSA260" s="35"/>
      <c r="BSB260" s="35"/>
      <c r="BSC260" s="35"/>
      <c r="BSD260" s="35"/>
      <c r="BSE260" s="35"/>
      <c r="BSF260" s="35"/>
      <c r="BSG260" s="35"/>
      <c r="BSH260" s="35"/>
      <c r="BSI260" s="35"/>
      <c r="BSJ260" s="35"/>
      <c r="BSK260" s="35"/>
      <c r="BSL260" s="35"/>
      <c r="BSM260" s="35"/>
      <c r="BSN260" s="35"/>
      <c r="BSO260" s="35"/>
      <c r="BSP260" s="35"/>
      <c r="BSQ260" s="35"/>
      <c r="BSR260" s="35"/>
      <c r="BSS260" s="35"/>
      <c r="BST260" s="35"/>
      <c r="BSU260" s="35"/>
      <c r="BSV260" s="35"/>
      <c r="BSW260" s="35"/>
      <c r="BSX260" s="35"/>
      <c r="BSY260" s="35"/>
      <c r="BSZ260" s="35"/>
      <c r="BTA260" s="35"/>
      <c r="BTB260" s="35"/>
      <c r="BTC260" s="35"/>
      <c r="BTD260" s="35"/>
      <c r="BTE260" s="35"/>
      <c r="BTF260" s="35"/>
      <c r="BTG260" s="35"/>
      <c r="BTH260" s="35"/>
      <c r="BTI260" s="35"/>
      <c r="BTJ260" s="35"/>
      <c r="BTK260" s="35"/>
      <c r="BTL260" s="35"/>
      <c r="BTM260" s="35"/>
      <c r="BTN260" s="35"/>
      <c r="BTO260" s="35"/>
      <c r="BTP260" s="35"/>
      <c r="BTQ260" s="35"/>
      <c r="BTR260" s="35"/>
      <c r="BTS260" s="35"/>
      <c r="BTT260" s="35"/>
      <c r="BTU260" s="35"/>
      <c r="BTV260" s="35"/>
      <c r="BTW260" s="35"/>
      <c r="BTX260" s="35"/>
      <c r="BTY260" s="35"/>
      <c r="BTZ260" s="35"/>
      <c r="BUA260" s="35"/>
      <c r="BUB260" s="35"/>
      <c r="BUC260" s="35"/>
      <c r="BUD260" s="35"/>
      <c r="BUE260" s="35"/>
      <c r="BUF260" s="35"/>
      <c r="BUG260" s="35"/>
      <c r="BUH260" s="35"/>
      <c r="BUI260" s="35"/>
      <c r="BUJ260" s="35"/>
      <c r="BUK260" s="35"/>
      <c r="BUL260" s="35"/>
      <c r="BUM260" s="35"/>
      <c r="BUN260" s="35"/>
      <c r="BUO260" s="35"/>
      <c r="BUP260" s="35"/>
      <c r="BUQ260" s="35"/>
      <c r="BUR260" s="35"/>
      <c r="BUS260" s="35"/>
      <c r="BUT260" s="35"/>
      <c r="BUU260" s="35"/>
      <c r="BUV260" s="35"/>
      <c r="BUW260" s="35"/>
      <c r="BUX260" s="35"/>
      <c r="BUY260" s="35"/>
      <c r="BUZ260" s="35"/>
      <c r="BVA260" s="35"/>
      <c r="BVB260" s="35"/>
      <c r="BVC260" s="35"/>
      <c r="BVD260" s="35"/>
      <c r="BVE260" s="35"/>
      <c r="BVF260" s="35"/>
      <c r="BVG260" s="35"/>
      <c r="BVH260" s="35"/>
      <c r="BVI260" s="35"/>
      <c r="BVJ260" s="35"/>
      <c r="BVK260" s="35"/>
      <c r="BVL260" s="35"/>
      <c r="BVM260" s="35"/>
      <c r="BVN260" s="35"/>
      <c r="BVO260" s="35"/>
      <c r="BVP260" s="35"/>
      <c r="BVQ260" s="35"/>
      <c r="BVR260" s="35"/>
      <c r="BVS260" s="35"/>
      <c r="BVT260" s="35"/>
      <c r="BVU260" s="35"/>
      <c r="BVV260" s="35"/>
      <c r="BVW260" s="35"/>
      <c r="BVX260" s="35"/>
      <c r="BVY260" s="35"/>
      <c r="BVZ260" s="35"/>
      <c r="BWA260" s="35"/>
      <c r="BWB260" s="35"/>
      <c r="BWC260" s="35"/>
      <c r="BWD260" s="35"/>
      <c r="BWE260" s="35"/>
      <c r="BWF260" s="35"/>
      <c r="BWG260" s="35"/>
      <c r="BWH260" s="35"/>
      <c r="BWI260" s="35"/>
      <c r="BWJ260" s="35"/>
      <c r="BWK260" s="35"/>
      <c r="BWL260" s="35"/>
      <c r="BWM260" s="35"/>
      <c r="BWN260" s="35"/>
      <c r="BWO260" s="35"/>
      <c r="BWP260" s="35"/>
      <c r="BWQ260" s="35"/>
      <c r="BWR260" s="35"/>
      <c r="BWS260" s="35"/>
      <c r="BWT260" s="35"/>
      <c r="BWU260" s="35"/>
      <c r="BWV260" s="35"/>
      <c r="BWW260" s="35"/>
      <c r="BWX260" s="35"/>
      <c r="BWY260" s="35"/>
      <c r="BWZ260" s="35"/>
      <c r="BXA260" s="35"/>
      <c r="BXB260" s="35"/>
      <c r="BXC260" s="35"/>
      <c r="BXD260" s="35"/>
      <c r="BXE260" s="35"/>
      <c r="BXF260" s="35"/>
      <c r="BXG260" s="35"/>
      <c r="BXH260" s="35"/>
      <c r="BXI260" s="35"/>
      <c r="BXJ260" s="35"/>
      <c r="BXK260" s="35"/>
      <c r="BXL260" s="35"/>
      <c r="BXM260" s="35"/>
      <c r="BXN260" s="35"/>
      <c r="BXO260" s="35"/>
      <c r="BXP260" s="35"/>
      <c r="BXQ260" s="35"/>
      <c r="BXR260" s="35"/>
      <c r="BXS260" s="35"/>
      <c r="BXT260" s="35"/>
      <c r="BXU260" s="35"/>
      <c r="BXV260" s="35"/>
      <c r="BXW260" s="35"/>
      <c r="BXX260" s="35"/>
      <c r="BXY260" s="35"/>
      <c r="BXZ260" s="35"/>
      <c r="BYA260" s="35"/>
      <c r="BYB260" s="35"/>
      <c r="BYC260" s="35"/>
      <c r="BYD260" s="35"/>
      <c r="BYE260" s="35"/>
      <c r="BYF260" s="35"/>
      <c r="BYG260" s="35"/>
      <c r="BYH260" s="35"/>
      <c r="BYI260" s="35"/>
      <c r="BYJ260" s="35"/>
      <c r="BYK260" s="35"/>
      <c r="BYL260" s="35"/>
      <c r="BYM260" s="35"/>
      <c r="BYN260" s="35"/>
      <c r="BYO260" s="35"/>
      <c r="BYP260" s="35"/>
      <c r="BYQ260" s="35"/>
      <c r="BYR260" s="35"/>
      <c r="BYS260" s="35"/>
      <c r="BYT260" s="35"/>
      <c r="BYU260" s="35"/>
      <c r="BYV260" s="35"/>
      <c r="BYW260" s="35"/>
      <c r="BYX260" s="35"/>
      <c r="BYY260" s="35"/>
      <c r="BYZ260" s="35"/>
      <c r="BZA260" s="35"/>
      <c r="BZB260" s="35"/>
      <c r="BZC260" s="35"/>
      <c r="BZD260" s="35"/>
      <c r="BZE260" s="35"/>
      <c r="BZF260" s="35"/>
      <c r="BZG260" s="35"/>
      <c r="BZH260" s="35"/>
      <c r="BZI260" s="35"/>
      <c r="BZJ260" s="35"/>
      <c r="BZK260" s="35"/>
      <c r="BZL260" s="35"/>
      <c r="BZM260" s="35"/>
      <c r="BZN260" s="35"/>
      <c r="BZO260" s="35"/>
      <c r="BZP260" s="35"/>
      <c r="BZQ260" s="35"/>
      <c r="BZR260" s="35"/>
      <c r="BZS260" s="35"/>
      <c r="BZT260" s="35"/>
      <c r="BZU260" s="35"/>
      <c r="BZV260" s="35"/>
      <c r="BZW260" s="35"/>
      <c r="BZX260" s="35"/>
      <c r="BZY260" s="35"/>
      <c r="BZZ260" s="35"/>
      <c r="CAA260" s="35"/>
      <c r="CAB260" s="35"/>
      <c r="CAC260" s="35"/>
      <c r="CAD260" s="35"/>
      <c r="CAE260" s="35"/>
      <c r="CAF260" s="35"/>
      <c r="CAG260" s="35"/>
      <c r="CAH260" s="35"/>
      <c r="CAI260" s="35"/>
      <c r="CAJ260" s="35"/>
      <c r="CAK260" s="35"/>
      <c r="CAL260" s="35"/>
      <c r="CAM260" s="35"/>
      <c r="CAN260" s="35"/>
      <c r="CAO260" s="35"/>
      <c r="CAP260" s="35"/>
      <c r="CAQ260" s="35"/>
      <c r="CAR260" s="35"/>
      <c r="CAS260" s="35"/>
      <c r="CAT260" s="35"/>
      <c r="CAU260" s="35"/>
      <c r="CAV260" s="35"/>
      <c r="CAW260" s="35"/>
      <c r="CAX260" s="35"/>
      <c r="CAY260" s="35"/>
      <c r="CAZ260" s="35"/>
      <c r="CBA260" s="35"/>
      <c r="CBB260" s="35"/>
      <c r="CBC260" s="35"/>
      <c r="CBD260" s="35"/>
      <c r="CBE260" s="35"/>
      <c r="CBF260" s="35"/>
      <c r="CBG260" s="35"/>
      <c r="CBH260" s="35"/>
      <c r="CBI260" s="35"/>
      <c r="CBJ260" s="35"/>
      <c r="CBK260" s="35"/>
      <c r="CBL260" s="35"/>
      <c r="CBM260" s="35"/>
      <c r="CBN260" s="35"/>
      <c r="CBO260" s="35"/>
      <c r="CBP260" s="35"/>
      <c r="CBQ260" s="35"/>
      <c r="CBR260" s="35"/>
      <c r="CBS260" s="35"/>
      <c r="CBT260" s="35"/>
      <c r="CBU260" s="35"/>
      <c r="CBV260" s="35"/>
      <c r="CBW260" s="35"/>
      <c r="CBX260" s="35"/>
      <c r="CBY260" s="35"/>
      <c r="CBZ260" s="35"/>
      <c r="CCA260" s="35"/>
      <c r="CCB260" s="35"/>
      <c r="CCC260" s="35"/>
      <c r="CCD260" s="35"/>
      <c r="CCE260" s="35"/>
      <c r="CCF260" s="35"/>
      <c r="CCG260" s="35"/>
      <c r="CCH260" s="35"/>
      <c r="CCI260" s="35"/>
      <c r="CCJ260" s="35"/>
      <c r="CCK260" s="35"/>
      <c r="CCL260" s="35"/>
      <c r="CCM260" s="35"/>
      <c r="CCN260" s="35"/>
      <c r="CCO260" s="35"/>
      <c r="CCP260" s="35"/>
      <c r="CCQ260" s="35"/>
      <c r="CCR260" s="35"/>
      <c r="CCS260" s="35"/>
      <c r="CCT260" s="35"/>
      <c r="CCU260" s="35"/>
      <c r="CCV260" s="35"/>
      <c r="CCW260" s="35"/>
      <c r="CCX260" s="35"/>
      <c r="CCY260" s="35"/>
      <c r="CCZ260" s="35"/>
      <c r="CDA260" s="35"/>
      <c r="CDB260" s="35"/>
      <c r="CDC260" s="35"/>
      <c r="CDD260" s="35"/>
      <c r="CDE260" s="35"/>
      <c r="CDF260" s="35"/>
      <c r="CDG260" s="35"/>
      <c r="CDH260" s="35"/>
      <c r="CDI260" s="35"/>
      <c r="CDJ260" s="35"/>
      <c r="CDK260" s="35"/>
      <c r="CDL260" s="35"/>
      <c r="CDM260" s="35"/>
      <c r="CDN260" s="35"/>
      <c r="CDO260" s="35"/>
      <c r="CDP260" s="35"/>
      <c r="CDQ260" s="35"/>
      <c r="CDR260" s="35"/>
      <c r="CDS260" s="35"/>
      <c r="CDT260" s="35"/>
      <c r="CDU260" s="35"/>
      <c r="CDV260" s="35"/>
      <c r="CDW260" s="35"/>
      <c r="CDX260" s="35"/>
      <c r="CDY260" s="35"/>
      <c r="CDZ260" s="35"/>
      <c r="CEA260" s="35"/>
      <c r="CEB260" s="35"/>
      <c r="CEC260" s="35"/>
      <c r="CED260" s="35"/>
      <c r="CEE260" s="35"/>
      <c r="CEF260" s="35"/>
      <c r="CEG260" s="35"/>
      <c r="CEH260" s="35"/>
      <c r="CEI260" s="35"/>
      <c r="CEJ260" s="35"/>
      <c r="CEK260" s="35"/>
      <c r="CEL260" s="35"/>
      <c r="CEM260" s="35"/>
      <c r="CEN260" s="35"/>
      <c r="CEO260" s="35"/>
      <c r="CEP260" s="35"/>
      <c r="CEQ260" s="35"/>
      <c r="CER260" s="35"/>
      <c r="CES260" s="35"/>
      <c r="CET260" s="35"/>
      <c r="CEU260" s="35"/>
      <c r="CEV260" s="35"/>
      <c r="CEW260" s="35"/>
      <c r="CEX260" s="35"/>
      <c r="CEY260" s="35"/>
      <c r="CEZ260" s="35"/>
      <c r="CFA260" s="35"/>
      <c r="CFB260" s="35"/>
      <c r="CFC260" s="35"/>
      <c r="CFD260" s="35"/>
      <c r="CFE260" s="35"/>
      <c r="CFF260" s="35"/>
      <c r="CFG260" s="35"/>
      <c r="CFH260" s="35"/>
      <c r="CFI260" s="35"/>
      <c r="CFJ260" s="35"/>
      <c r="CFK260" s="35"/>
      <c r="CFL260" s="35"/>
      <c r="CFM260" s="35"/>
      <c r="CFN260" s="35"/>
      <c r="CFO260" s="35"/>
      <c r="CFP260" s="35"/>
      <c r="CFQ260" s="35"/>
      <c r="CFR260" s="35"/>
      <c r="CFS260" s="35"/>
      <c r="CFT260" s="35"/>
      <c r="CFU260" s="35"/>
      <c r="CFV260" s="35"/>
      <c r="CFW260" s="35"/>
      <c r="CFX260" s="35"/>
      <c r="CFY260" s="35"/>
      <c r="CFZ260" s="35"/>
      <c r="CGA260" s="35"/>
      <c r="CGB260" s="35"/>
      <c r="CGC260" s="35"/>
      <c r="CGD260" s="35"/>
      <c r="CGE260" s="35"/>
      <c r="CGF260" s="35"/>
      <c r="CGG260" s="35"/>
      <c r="CGH260" s="35"/>
      <c r="CGI260" s="35"/>
      <c r="CGJ260" s="35"/>
      <c r="CGK260" s="35"/>
      <c r="CGL260" s="35"/>
      <c r="CGM260" s="35"/>
      <c r="CGN260" s="35"/>
      <c r="CGO260" s="35"/>
      <c r="CGP260" s="35"/>
      <c r="CGQ260" s="35"/>
      <c r="CGR260" s="35"/>
      <c r="CGS260" s="35"/>
      <c r="CGT260" s="35"/>
      <c r="CGU260" s="35"/>
      <c r="CGV260" s="35"/>
      <c r="CGW260" s="35"/>
      <c r="CGX260" s="35"/>
      <c r="CGY260" s="35"/>
      <c r="CGZ260" s="35"/>
      <c r="CHA260" s="35"/>
      <c r="CHB260" s="35"/>
      <c r="CHC260" s="35"/>
      <c r="CHD260" s="35"/>
      <c r="CHE260" s="35"/>
      <c r="CHF260" s="35"/>
      <c r="CHG260" s="35"/>
      <c r="CHH260" s="35"/>
      <c r="CHI260" s="35"/>
      <c r="CHJ260" s="35"/>
      <c r="CHK260" s="35"/>
      <c r="CHL260" s="35"/>
      <c r="CHM260" s="35"/>
      <c r="CHN260" s="35"/>
      <c r="CHO260" s="35"/>
      <c r="CHP260" s="35"/>
      <c r="CHQ260" s="35"/>
      <c r="CHR260" s="35"/>
      <c r="CHS260" s="35"/>
      <c r="CHT260" s="35"/>
      <c r="CHU260" s="35"/>
      <c r="CHV260" s="35"/>
      <c r="CHW260" s="35"/>
      <c r="CHX260" s="35"/>
      <c r="CHY260" s="35"/>
      <c r="CHZ260" s="35"/>
      <c r="CIA260" s="35"/>
      <c r="CIB260" s="35"/>
      <c r="CIC260" s="35"/>
      <c r="CID260" s="35"/>
      <c r="CIE260" s="35"/>
      <c r="CIF260" s="35"/>
      <c r="CIG260" s="35"/>
      <c r="CIH260" s="35"/>
      <c r="CII260" s="35"/>
      <c r="CIJ260" s="35"/>
      <c r="CIK260" s="35"/>
      <c r="CIL260" s="35"/>
      <c r="CIM260" s="35"/>
      <c r="CIN260" s="35"/>
      <c r="CIO260" s="35"/>
      <c r="CIP260" s="35"/>
      <c r="CIQ260" s="35"/>
      <c r="CIR260" s="35"/>
      <c r="CIS260" s="35"/>
      <c r="CIT260" s="35"/>
      <c r="CIU260" s="35"/>
      <c r="CIV260" s="35"/>
      <c r="CIW260" s="35"/>
      <c r="CIX260" s="35"/>
      <c r="CIY260" s="35"/>
      <c r="CIZ260" s="35"/>
      <c r="CJA260" s="35"/>
      <c r="CJB260" s="35"/>
      <c r="CJC260" s="35"/>
      <c r="CJD260" s="35"/>
      <c r="CJE260" s="35"/>
      <c r="CJF260" s="35"/>
      <c r="CJG260" s="35"/>
      <c r="CJH260" s="35"/>
      <c r="CJI260" s="35"/>
      <c r="CJJ260" s="35"/>
      <c r="CJK260" s="35"/>
      <c r="CJL260" s="35"/>
      <c r="CJM260" s="35"/>
      <c r="CJN260" s="35"/>
      <c r="CJO260" s="35"/>
      <c r="CJP260" s="35"/>
      <c r="CJQ260" s="35"/>
      <c r="CJR260" s="35"/>
      <c r="CJS260" s="35"/>
      <c r="CJT260" s="35"/>
      <c r="CJU260" s="35"/>
      <c r="CJV260" s="35"/>
      <c r="CJW260" s="35"/>
      <c r="CJX260" s="35"/>
      <c r="CJY260" s="35"/>
      <c r="CJZ260" s="35"/>
      <c r="CKA260" s="35"/>
      <c r="CKB260" s="35"/>
      <c r="CKC260" s="35"/>
      <c r="CKD260" s="35"/>
      <c r="CKE260" s="35"/>
      <c r="CKF260" s="35"/>
      <c r="CKG260" s="35"/>
      <c r="CKH260" s="35"/>
      <c r="CKI260" s="35"/>
      <c r="CKJ260" s="35"/>
      <c r="CKK260" s="35"/>
      <c r="CKL260" s="35"/>
      <c r="CKM260" s="35"/>
      <c r="CKN260" s="35"/>
      <c r="CKO260" s="35"/>
      <c r="CKP260" s="35"/>
      <c r="CKQ260" s="35"/>
      <c r="CKR260" s="35"/>
      <c r="CKS260" s="35"/>
      <c r="CKT260" s="35"/>
      <c r="CKU260" s="35"/>
      <c r="CKV260" s="35"/>
      <c r="CKW260" s="35"/>
      <c r="CKX260" s="35"/>
      <c r="CKY260" s="35"/>
      <c r="CKZ260" s="35"/>
      <c r="CLA260" s="35"/>
      <c r="CLB260" s="35"/>
      <c r="CLC260" s="35"/>
      <c r="CLD260" s="35"/>
      <c r="CLE260" s="35"/>
      <c r="CLF260" s="35"/>
      <c r="CLG260" s="35"/>
      <c r="CLH260" s="35"/>
      <c r="CLI260" s="35"/>
      <c r="CLJ260" s="35"/>
      <c r="CLK260" s="35"/>
      <c r="CLL260" s="35"/>
      <c r="CLM260" s="35"/>
      <c r="CLN260" s="35"/>
      <c r="CLO260" s="35"/>
      <c r="CLP260" s="35"/>
      <c r="CLQ260" s="35"/>
      <c r="CLR260" s="35"/>
      <c r="CLS260" s="35"/>
      <c r="CLT260" s="35"/>
      <c r="CLU260" s="35"/>
      <c r="CLV260" s="35"/>
      <c r="CLW260" s="35"/>
      <c r="CLX260" s="35"/>
      <c r="CLY260" s="35"/>
      <c r="CLZ260" s="35"/>
      <c r="CMA260" s="35"/>
      <c r="CMB260" s="35"/>
      <c r="CMC260" s="35"/>
      <c r="CMD260" s="35"/>
      <c r="CME260" s="35"/>
      <c r="CMF260" s="35"/>
      <c r="CMG260" s="35"/>
      <c r="CMH260" s="35"/>
      <c r="CMI260" s="35"/>
      <c r="CMJ260" s="35"/>
      <c r="CMK260" s="35"/>
      <c r="CML260" s="35"/>
      <c r="CMM260" s="35"/>
      <c r="CMN260" s="35"/>
      <c r="CMO260" s="35"/>
      <c r="CMP260" s="35"/>
      <c r="CMQ260" s="35"/>
      <c r="CMR260" s="35"/>
      <c r="CMS260" s="35"/>
      <c r="CMT260" s="35"/>
      <c r="CMU260" s="35"/>
      <c r="CMV260" s="35"/>
      <c r="CMW260" s="35"/>
      <c r="CMX260" s="35"/>
      <c r="CMY260" s="35"/>
      <c r="CMZ260" s="35"/>
      <c r="CNA260" s="35"/>
      <c r="CNB260" s="35"/>
      <c r="CNC260" s="35"/>
      <c r="CND260" s="35"/>
      <c r="CNE260" s="35"/>
      <c r="CNF260" s="35"/>
      <c r="CNG260" s="35"/>
      <c r="CNH260" s="35"/>
      <c r="CNI260" s="35"/>
      <c r="CNJ260" s="35"/>
      <c r="CNK260" s="35"/>
      <c r="CNL260" s="35"/>
      <c r="CNM260" s="35"/>
      <c r="CNN260" s="35"/>
      <c r="CNO260" s="35"/>
      <c r="CNP260" s="35"/>
      <c r="CNQ260" s="35"/>
      <c r="CNR260" s="35"/>
      <c r="CNS260" s="35"/>
      <c r="CNT260" s="35"/>
      <c r="CNU260" s="35"/>
      <c r="CNV260" s="35"/>
      <c r="CNW260" s="35"/>
      <c r="CNX260" s="35"/>
      <c r="CNY260" s="35"/>
      <c r="CNZ260" s="35"/>
      <c r="COA260" s="35"/>
      <c r="COB260" s="35"/>
      <c r="COC260" s="35"/>
      <c r="COD260" s="35"/>
      <c r="COE260" s="35"/>
      <c r="COF260" s="35"/>
      <c r="COG260" s="35"/>
      <c r="COH260" s="35"/>
      <c r="COI260" s="35"/>
      <c r="COJ260" s="35"/>
      <c r="COK260" s="35"/>
      <c r="COL260" s="35"/>
      <c r="COM260" s="35"/>
      <c r="CON260" s="35"/>
      <c r="COO260" s="35"/>
      <c r="COP260" s="35"/>
      <c r="COQ260" s="35"/>
      <c r="COR260" s="35"/>
      <c r="COS260" s="35"/>
      <c r="COT260" s="35"/>
      <c r="COU260" s="35"/>
      <c r="COV260" s="35"/>
      <c r="COW260" s="35"/>
      <c r="COX260" s="35"/>
      <c r="COY260" s="35"/>
      <c r="COZ260" s="35"/>
      <c r="CPA260" s="35"/>
      <c r="CPB260" s="35"/>
      <c r="CPC260" s="35"/>
      <c r="CPD260" s="35"/>
      <c r="CPE260" s="35"/>
      <c r="CPF260" s="35"/>
      <c r="CPG260" s="35"/>
      <c r="CPH260" s="35"/>
      <c r="CPI260" s="35"/>
      <c r="CPJ260" s="35"/>
      <c r="CPK260" s="35"/>
      <c r="CPL260" s="35"/>
      <c r="CPM260" s="35"/>
      <c r="CPN260" s="35"/>
      <c r="CPO260" s="35"/>
      <c r="CPP260" s="35"/>
      <c r="CPQ260" s="35"/>
      <c r="CPR260" s="35"/>
      <c r="CPS260" s="35"/>
      <c r="CPT260" s="35"/>
      <c r="CPU260" s="35"/>
      <c r="CPV260" s="35"/>
      <c r="CPW260" s="35"/>
      <c r="CPX260" s="35"/>
      <c r="CPY260" s="35"/>
      <c r="CPZ260" s="35"/>
      <c r="CQA260" s="35"/>
      <c r="CQB260" s="35"/>
      <c r="CQC260" s="35"/>
      <c r="CQD260" s="35"/>
      <c r="CQE260" s="35"/>
      <c r="CQF260" s="35"/>
      <c r="CQG260" s="35"/>
      <c r="CQH260" s="35"/>
      <c r="CQI260" s="35"/>
      <c r="CQJ260" s="35"/>
      <c r="CQK260" s="35"/>
      <c r="CQL260" s="35"/>
      <c r="CQM260" s="35"/>
      <c r="CQN260" s="35"/>
      <c r="CQO260" s="35"/>
      <c r="CQP260" s="35"/>
      <c r="CQQ260" s="35"/>
      <c r="CQR260" s="35"/>
      <c r="CQS260" s="35"/>
      <c r="CQT260" s="35"/>
      <c r="CQU260" s="35"/>
      <c r="CQV260" s="35"/>
      <c r="CQW260" s="35"/>
      <c r="CQX260" s="35"/>
      <c r="CQY260" s="35"/>
      <c r="CQZ260" s="35"/>
      <c r="CRA260" s="35"/>
      <c r="CRB260" s="35"/>
      <c r="CRC260" s="35"/>
      <c r="CRD260" s="35"/>
      <c r="CRE260" s="35"/>
      <c r="CRF260" s="35"/>
      <c r="CRG260" s="35"/>
      <c r="CRH260" s="35"/>
      <c r="CRI260" s="35"/>
      <c r="CRJ260" s="35"/>
      <c r="CRK260" s="35"/>
      <c r="CRL260" s="35"/>
      <c r="CRM260" s="35"/>
      <c r="CRN260" s="35"/>
      <c r="CRO260" s="35"/>
      <c r="CRP260" s="35"/>
      <c r="CRQ260" s="35"/>
      <c r="CRR260" s="35"/>
      <c r="CRS260" s="35"/>
      <c r="CRT260" s="35"/>
      <c r="CRU260" s="35"/>
      <c r="CRV260" s="35"/>
      <c r="CRW260" s="35"/>
      <c r="CRX260" s="35"/>
      <c r="CRY260" s="35"/>
      <c r="CRZ260" s="35"/>
      <c r="CSA260" s="35"/>
      <c r="CSB260" s="35"/>
      <c r="CSC260" s="35"/>
      <c r="CSD260" s="35"/>
      <c r="CSE260" s="35"/>
      <c r="CSF260" s="35"/>
      <c r="CSG260" s="35"/>
      <c r="CSH260" s="35"/>
      <c r="CSI260" s="35"/>
      <c r="CSJ260" s="35"/>
      <c r="CSK260" s="35"/>
      <c r="CSL260" s="35"/>
      <c r="CSM260" s="35"/>
      <c r="CSN260" s="35"/>
      <c r="CSO260" s="35"/>
      <c r="CSP260" s="35"/>
      <c r="CSQ260" s="35"/>
      <c r="CSR260" s="35"/>
      <c r="CSS260" s="35"/>
      <c r="CST260" s="35"/>
      <c r="CSU260" s="35"/>
      <c r="CSV260" s="35"/>
      <c r="CSW260" s="35"/>
      <c r="CSX260" s="35"/>
      <c r="CSY260" s="35"/>
      <c r="CSZ260" s="35"/>
      <c r="CTA260" s="35"/>
      <c r="CTB260" s="35"/>
      <c r="CTC260" s="35"/>
      <c r="CTD260" s="35"/>
      <c r="CTE260" s="35"/>
      <c r="CTF260" s="35"/>
      <c r="CTG260" s="35"/>
      <c r="CTH260" s="35"/>
      <c r="CTI260" s="35"/>
      <c r="CTJ260" s="35"/>
      <c r="CTK260" s="35"/>
      <c r="CTL260" s="35"/>
      <c r="CTM260" s="35"/>
      <c r="CTN260" s="35"/>
      <c r="CTO260" s="35"/>
      <c r="CTP260" s="35"/>
      <c r="CTQ260" s="35"/>
      <c r="CTR260" s="35"/>
      <c r="CTS260" s="35"/>
      <c r="CTT260" s="35"/>
      <c r="CTU260" s="35"/>
      <c r="CTV260" s="35"/>
      <c r="CTW260" s="35"/>
      <c r="CTX260" s="35"/>
      <c r="CTY260" s="35"/>
      <c r="CTZ260" s="35"/>
      <c r="CUA260" s="35"/>
      <c r="CUB260" s="35"/>
      <c r="CUC260" s="35"/>
      <c r="CUD260" s="35"/>
      <c r="CUE260" s="35"/>
      <c r="CUF260" s="35"/>
      <c r="CUG260" s="35"/>
      <c r="CUH260" s="35"/>
      <c r="CUI260" s="35"/>
      <c r="CUJ260" s="35"/>
      <c r="CUK260" s="35"/>
      <c r="CUL260" s="35"/>
      <c r="CUM260" s="35"/>
      <c r="CUN260" s="35"/>
      <c r="CUO260" s="35"/>
      <c r="CUP260" s="35"/>
      <c r="CUQ260" s="35"/>
      <c r="CUR260" s="35"/>
      <c r="CUS260" s="35"/>
      <c r="CUT260" s="35"/>
      <c r="CUU260" s="35"/>
      <c r="CUV260" s="35"/>
      <c r="CUW260" s="35"/>
      <c r="CUX260" s="35"/>
      <c r="CUY260" s="35"/>
      <c r="CUZ260" s="35"/>
      <c r="CVA260" s="35"/>
      <c r="CVB260" s="35"/>
      <c r="CVC260" s="35"/>
      <c r="CVD260" s="35"/>
      <c r="CVE260" s="35"/>
      <c r="CVF260" s="35"/>
      <c r="CVG260" s="35"/>
      <c r="CVH260" s="35"/>
      <c r="CVI260" s="35"/>
      <c r="CVJ260" s="35"/>
      <c r="CVK260" s="35"/>
      <c r="CVL260" s="35"/>
      <c r="CVM260" s="35"/>
      <c r="CVN260" s="35"/>
      <c r="CVO260" s="35"/>
      <c r="CVP260" s="35"/>
      <c r="CVQ260" s="35"/>
      <c r="CVR260" s="35"/>
      <c r="CVS260" s="35"/>
      <c r="CVT260" s="35"/>
      <c r="CVU260" s="35"/>
      <c r="CVV260" s="35"/>
      <c r="CVW260" s="35"/>
      <c r="CVX260" s="35"/>
      <c r="CVY260" s="35"/>
      <c r="CVZ260" s="35"/>
      <c r="CWA260" s="35"/>
      <c r="CWB260" s="35"/>
      <c r="CWC260" s="35"/>
      <c r="CWD260" s="35"/>
      <c r="CWE260" s="35"/>
      <c r="CWF260" s="35"/>
      <c r="CWG260" s="35"/>
      <c r="CWH260" s="35"/>
      <c r="CWI260" s="35"/>
      <c r="CWJ260" s="35"/>
      <c r="CWK260" s="35"/>
      <c r="CWL260" s="35"/>
      <c r="CWM260" s="35"/>
      <c r="CWN260" s="35"/>
      <c r="CWO260" s="35"/>
      <c r="CWP260" s="35"/>
      <c r="CWQ260" s="35"/>
      <c r="CWR260" s="35"/>
      <c r="CWS260" s="35"/>
      <c r="CWT260" s="35"/>
      <c r="CWU260" s="35"/>
      <c r="CWV260" s="35"/>
      <c r="CWW260" s="35"/>
      <c r="CWX260" s="35"/>
      <c r="CWY260" s="35"/>
      <c r="CWZ260" s="35"/>
      <c r="CXA260" s="35"/>
      <c r="CXB260" s="35"/>
      <c r="CXC260" s="35"/>
      <c r="CXD260" s="35"/>
      <c r="CXE260" s="35"/>
      <c r="CXF260" s="35"/>
      <c r="CXG260" s="35"/>
      <c r="CXH260" s="35"/>
      <c r="CXI260" s="35"/>
      <c r="CXJ260" s="35"/>
      <c r="CXK260" s="35"/>
      <c r="CXL260" s="35"/>
      <c r="CXM260" s="35"/>
      <c r="CXN260" s="35"/>
      <c r="CXO260" s="35"/>
      <c r="CXP260" s="35"/>
      <c r="CXQ260" s="35"/>
      <c r="CXR260" s="35"/>
      <c r="CXS260" s="35"/>
      <c r="CXT260" s="35"/>
      <c r="CXU260" s="35"/>
      <c r="CXV260" s="35"/>
      <c r="CXW260" s="35"/>
      <c r="CXX260" s="35"/>
      <c r="CXY260" s="35"/>
      <c r="CXZ260" s="35"/>
      <c r="CYA260" s="35"/>
      <c r="CYB260" s="35"/>
      <c r="CYC260" s="35"/>
      <c r="CYD260" s="35"/>
      <c r="CYE260" s="35"/>
      <c r="CYF260" s="35"/>
      <c r="CYG260" s="35"/>
      <c r="CYH260" s="35"/>
      <c r="CYI260" s="35"/>
      <c r="CYJ260" s="35"/>
      <c r="CYK260" s="35"/>
      <c r="CYL260" s="35"/>
      <c r="CYM260" s="35"/>
      <c r="CYN260" s="35"/>
      <c r="CYO260" s="35"/>
      <c r="CYP260" s="35"/>
      <c r="CYQ260" s="35"/>
      <c r="CYR260" s="35"/>
      <c r="CYS260" s="35"/>
      <c r="CYT260" s="35"/>
      <c r="CYU260" s="35"/>
      <c r="CYV260" s="35"/>
      <c r="CYW260" s="35"/>
      <c r="CYX260" s="35"/>
      <c r="CYY260" s="35"/>
      <c r="CYZ260" s="35"/>
      <c r="CZA260" s="35"/>
      <c r="CZB260" s="35"/>
      <c r="CZC260" s="35"/>
      <c r="CZD260" s="35"/>
      <c r="CZE260" s="35"/>
      <c r="CZF260" s="35"/>
      <c r="CZG260" s="35"/>
      <c r="CZH260" s="35"/>
      <c r="CZI260" s="35"/>
      <c r="CZJ260" s="35"/>
      <c r="CZK260" s="35"/>
      <c r="CZL260" s="35"/>
      <c r="CZM260" s="35"/>
      <c r="CZN260" s="35"/>
      <c r="CZO260" s="35"/>
      <c r="CZP260" s="35"/>
      <c r="CZQ260" s="35"/>
      <c r="CZR260" s="35"/>
      <c r="CZS260" s="35"/>
      <c r="CZT260" s="35"/>
      <c r="CZU260" s="35"/>
      <c r="CZV260" s="35"/>
      <c r="CZW260" s="35"/>
      <c r="CZX260" s="35"/>
      <c r="CZY260" s="35"/>
      <c r="CZZ260" s="35"/>
      <c r="DAA260" s="35"/>
      <c r="DAB260" s="35"/>
      <c r="DAC260" s="35"/>
      <c r="DAD260" s="35"/>
      <c r="DAE260" s="35"/>
      <c r="DAF260" s="35"/>
      <c r="DAG260" s="35"/>
      <c r="DAH260" s="35"/>
      <c r="DAI260" s="35"/>
      <c r="DAJ260" s="35"/>
      <c r="DAK260" s="35"/>
      <c r="DAL260" s="35"/>
      <c r="DAM260" s="35"/>
      <c r="DAN260" s="35"/>
      <c r="DAO260" s="35"/>
      <c r="DAP260" s="35"/>
      <c r="DAQ260" s="35"/>
      <c r="DAR260" s="35"/>
      <c r="DAS260" s="35"/>
      <c r="DAT260" s="35"/>
      <c r="DAU260" s="35"/>
      <c r="DAV260" s="35"/>
      <c r="DAW260" s="35"/>
      <c r="DAX260" s="35"/>
      <c r="DAY260" s="35"/>
      <c r="DAZ260" s="35"/>
      <c r="DBA260" s="35"/>
      <c r="DBB260" s="35"/>
      <c r="DBC260" s="35"/>
      <c r="DBD260" s="35"/>
      <c r="DBE260" s="35"/>
      <c r="DBF260" s="35"/>
      <c r="DBG260" s="35"/>
      <c r="DBH260" s="35"/>
      <c r="DBI260" s="35"/>
      <c r="DBJ260" s="35"/>
      <c r="DBK260" s="35"/>
      <c r="DBL260" s="35"/>
      <c r="DBM260" s="35"/>
      <c r="DBN260" s="35"/>
      <c r="DBO260" s="35"/>
      <c r="DBP260" s="35"/>
      <c r="DBQ260" s="35"/>
      <c r="DBR260" s="35"/>
      <c r="DBS260" s="35"/>
      <c r="DBT260" s="35"/>
      <c r="DBU260" s="35"/>
      <c r="DBV260" s="35"/>
      <c r="DBW260" s="35"/>
      <c r="DBX260" s="35"/>
      <c r="DBY260" s="35"/>
      <c r="DBZ260" s="35"/>
      <c r="DCA260" s="35"/>
      <c r="DCB260" s="35"/>
      <c r="DCC260" s="35"/>
      <c r="DCD260" s="35"/>
      <c r="DCE260" s="35"/>
      <c r="DCF260" s="35"/>
      <c r="DCG260" s="35"/>
      <c r="DCH260" s="35"/>
      <c r="DCI260" s="35"/>
      <c r="DCJ260" s="35"/>
      <c r="DCK260" s="35"/>
      <c r="DCL260" s="35"/>
      <c r="DCM260" s="35"/>
      <c r="DCN260" s="35"/>
      <c r="DCO260" s="35"/>
      <c r="DCP260" s="35"/>
      <c r="DCQ260" s="35"/>
      <c r="DCR260" s="35"/>
      <c r="DCS260" s="35"/>
      <c r="DCT260" s="35"/>
      <c r="DCU260" s="35"/>
      <c r="DCV260" s="35"/>
      <c r="DCW260" s="35"/>
      <c r="DCX260" s="35"/>
      <c r="DCY260" s="35"/>
      <c r="DCZ260" s="35"/>
      <c r="DDA260" s="35"/>
      <c r="DDB260" s="35"/>
      <c r="DDC260" s="35"/>
      <c r="DDD260" s="35"/>
      <c r="DDE260" s="35"/>
      <c r="DDF260" s="35"/>
      <c r="DDG260" s="35"/>
      <c r="DDH260" s="35"/>
      <c r="DDI260" s="35"/>
      <c r="DDJ260" s="35"/>
      <c r="DDK260" s="35"/>
      <c r="DDL260" s="35"/>
      <c r="DDM260" s="35"/>
      <c r="DDN260" s="35"/>
      <c r="DDO260" s="35"/>
      <c r="DDP260" s="35"/>
      <c r="DDQ260" s="35"/>
      <c r="DDR260" s="35"/>
      <c r="DDS260" s="35"/>
      <c r="DDT260" s="35"/>
      <c r="DDU260" s="35"/>
      <c r="DDV260" s="35"/>
      <c r="DDW260" s="35"/>
      <c r="DDX260" s="35"/>
      <c r="DDY260" s="35"/>
      <c r="DDZ260" s="35"/>
      <c r="DEA260" s="35"/>
      <c r="DEB260" s="35"/>
      <c r="DEC260" s="35"/>
      <c r="DED260" s="35"/>
      <c r="DEE260" s="35"/>
      <c r="DEF260" s="35"/>
      <c r="DEG260" s="35"/>
      <c r="DEH260" s="35"/>
      <c r="DEI260" s="35"/>
      <c r="DEJ260" s="35"/>
      <c r="DEK260" s="35"/>
      <c r="DEL260" s="35"/>
      <c r="DEM260" s="35"/>
      <c r="DEN260" s="35"/>
      <c r="DEO260" s="35"/>
      <c r="DEP260" s="35"/>
      <c r="DEQ260" s="35"/>
      <c r="DER260" s="35"/>
      <c r="DES260" s="35"/>
      <c r="DET260" s="35"/>
      <c r="DEU260" s="35"/>
      <c r="DEV260" s="35"/>
      <c r="DEW260" s="35"/>
      <c r="DEX260" s="35"/>
      <c r="DEY260" s="35"/>
      <c r="DEZ260" s="35"/>
      <c r="DFA260" s="35"/>
      <c r="DFB260" s="35"/>
      <c r="DFC260" s="35"/>
      <c r="DFD260" s="35"/>
      <c r="DFE260" s="35"/>
      <c r="DFF260" s="35"/>
      <c r="DFG260" s="35"/>
      <c r="DFH260" s="35"/>
      <c r="DFI260" s="35"/>
      <c r="DFJ260" s="35"/>
      <c r="DFK260" s="35"/>
      <c r="DFL260" s="35"/>
      <c r="DFM260" s="35"/>
      <c r="DFN260" s="35"/>
      <c r="DFO260" s="35"/>
      <c r="DFP260" s="35"/>
      <c r="DFQ260" s="35"/>
      <c r="DFR260" s="35"/>
      <c r="DFS260" s="35"/>
      <c r="DFT260" s="35"/>
      <c r="DFU260" s="35"/>
      <c r="DFV260" s="35"/>
      <c r="DFW260" s="35"/>
      <c r="DFX260" s="35"/>
      <c r="DFY260" s="35"/>
      <c r="DFZ260" s="35"/>
      <c r="DGA260" s="35"/>
      <c r="DGB260" s="35"/>
      <c r="DGC260" s="35"/>
      <c r="DGD260" s="35"/>
      <c r="DGE260" s="35"/>
      <c r="DGF260" s="35"/>
      <c r="DGG260" s="35"/>
      <c r="DGH260" s="35"/>
      <c r="DGI260" s="35"/>
      <c r="DGJ260" s="35"/>
      <c r="DGK260" s="35"/>
      <c r="DGL260" s="35"/>
      <c r="DGM260" s="35"/>
      <c r="DGN260" s="35"/>
      <c r="DGO260" s="35"/>
      <c r="DGP260" s="35"/>
      <c r="DGQ260" s="35"/>
      <c r="DGR260" s="35"/>
      <c r="DGS260" s="35"/>
      <c r="DGT260" s="35"/>
      <c r="DGU260" s="35"/>
      <c r="DGV260" s="35"/>
      <c r="DGW260" s="35"/>
      <c r="DGX260" s="35"/>
      <c r="DGY260" s="35"/>
      <c r="DGZ260" s="35"/>
      <c r="DHA260" s="35"/>
      <c r="DHB260" s="35"/>
      <c r="DHC260" s="35"/>
      <c r="DHD260" s="35"/>
      <c r="DHE260" s="35"/>
      <c r="DHF260" s="35"/>
      <c r="DHG260" s="35"/>
      <c r="DHH260" s="35"/>
      <c r="DHI260" s="35"/>
      <c r="DHJ260" s="35"/>
      <c r="DHK260" s="35"/>
      <c r="DHL260" s="35"/>
      <c r="DHM260" s="35"/>
      <c r="DHN260" s="35"/>
      <c r="DHO260" s="35"/>
      <c r="DHP260" s="35"/>
      <c r="DHQ260" s="35"/>
      <c r="DHR260" s="35"/>
      <c r="DHS260" s="35"/>
      <c r="DHT260" s="35"/>
      <c r="DHU260" s="35"/>
      <c r="DHV260" s="35"/>
      <c r="DHW260" s="35"/>
      <c r="DHX260" s="35"/>
      <c r="DHY260" s="35"/>
      <c r="DHZ260" s="35"/>
      <c r="DIA260" s="35"/>
      <c r="DIB260" s="35"/>
      <c r="DIC260" s="35"/>
      <c r="DID260" s="35"/>
      <c r="DIE260" s="35"/>
      <c r="DIF260" s="35"/>
      <c r="DIG260" s="35"/>
      <c r="DIH260" s="35"/>
      <c r="DII260" s="35"/>
      <c r="DIJ260" s="35"/>
      <c r="DIK260" s="35"/>
      <c r="DIL260" s="35"/>
      <c r="DIM260" s="35"/>
      <c r="DIN260" s="35"/>
      <c r="DIO260" s="35"/>
      <c r="DIP260" s="35"/>
      <c r="DIQ260" s="35"/>
      <c r="DIR260" s="35"/>
      <c r="DIS260" s="35"/>
      <c r="DIT260" s="35"/>
      <c r="DIU260" s="35"/>
      <c r="DIV260" s="35"/>
      <c r="DIW260" s="35"/>
      <c r="DIX260" s="35"/>
      <c r="DIY260" s="35"/>
      <c r="DIZ260" s="35"/>
      <c r="DJA260" s="35"/>
      <c r="DJB260" s="35"/>
      <c r="DJC260" s="35"/>
      <c r="DJD260" s="35"/>
      <c r="DJE260" s="35"/>
      <c r="DJF260" s="35"/>
      <c r="DJG260" s="35"/>
      <c r="DJH260" s="35"/>
      <c r="DJI260" s="35"/>
      <c r="DJJ260" s="35"/>
      <c r="DJK260" s="35"/>
      <c r="DJL260" s="35"/>
      <c r="DJM260" s="35"/>
      <c r="DJN260" s="35"/>
      <c r="DJO260" s="35"/>
      <c r="DJP260" s="35"/>
      <c r="DJQ260" s="35"/>
      <c r="DJR260" s="35"/>
      <c r="DJS260" s="35"/>
      <c r="DJT260" s="35"/>
      <c r="DJU260" s="35"/>
      <c r="DJV260" s="35"/>
      <c r="DJW260" s="35"/>
      <c r="DJX260" s="35"/>
      <c r="DJY260" s="35"/>
      <c r="DJZ260" s="35"/>
      <c r="DKA260" s="35"/>
      <c r="DKB260" s="35"/>
      <c r="DKC260" s="35"/>
      <c r="DKD260" s="35"/>
      <c r="DKE260" s="35"/>
      <c r="DKF260" s="35"/>
      <c r="DKG260" s="35"/>
      <c r="DKH260" s="35"/>
      <c r="DKI260" s="35"/>
      <c r="DKJ260" s="35"/>
      <c r="DKK260" s="35"/>
      <c r="DKL260" s="35"/>
      <c r="DKM260" s="35"/>
      <c r="DKN260" s="35"/>
      <c r="DKO260" s="35"/>
      <c r="DKP260" s="35"/>
      <c r="DKQ260" s="35"/>
      <c r="DKR260" s="35"/>
      <c r="DKS260" s="35"/>
      <c r="DKT260" s="35"/>
      <c r="DKU260" s="35"/>
      <c r="DKV260" s="35"/>
      <c r="DKW260" s="35"/>
      <c r="DKX260" s="35"/>
      <c r="DKY260" s="35"/>
      <c r="DKZ260" s="35"/>
      <c r="DLA260" s="35"/>
      <c r="DLB260" s="35"/>
      <c r="DLC260" s="35"/>
      <c r="DLD260" s="35"/>
      <c r="DLE260" s="35"/>
      <c r="DLF260" s="35"/>
      <c r="DLG260" s="35"/>
      <c r="DLH260" s="35"/>
      <c r="DLI260" s="35"/>
      <c r="DLJ260" s="35"/>
      <c r="DLK260" s="35"/>
      <c r="DLL260" s="35"/>
      <c r="DLM260" s="35"/>
      <c r="DLN260" s="35"/>
      <c r="DLO260" s="35"/>
      <c r="DLP260" s="35"/>
      <c r="DLQ260" s="35"/>
      <c r="DLR260" s="35"/>
      <c r="DLS260" s="35"/>
      <c r="DLT260" s="35"/>
      <c r="DLU260" s="35"/>
      <c r="DLV260" s="35"/>
      <c r="DLW260" s="35"/>
      <c r="DLX260" s="35"/>
      <c r="DLY260" s="35"/>
      <c r="DLZ260" s="35"/>
      <c r="DMA260" s="35"/>
      <c r="DMB260" s="35"/>
      <c r="DMC260" s="35"/>
      <c r="DMD260" s="35"/>
      <c r="DME260" s="35"/>
      <c r="DMF260" s="35"/>
      <c r="DMG260" s="35"/>
      <c r="DMH260" s="35"/>
      <c r="DMI260" s="35"/>
      <c r="DMJ260" s="35"/>
      <c r="DMK260" s="35"/>
      <c r="DML260" s="35"/>
      <c r="DMM260" s="35"/>
      <c r="DMN260" s="35"/>
      <c r="DMO260" s="35"/>
      <c r="DMP260" s="35"/>
      <c r="DMQ260" s="35"/>
      <c r="DMR260" s="35"/>
      <c r="DMS260" s="35"/>
      <c r="DMT260" s="35"/>
      <c r="DMU260" s="35"/>
      <c r="DMV260" s="35"/>
      <c r="DMW260" s="35"/>
      <c r="DMX260" s="35"/>
      <c r="DMY260" s="35"/>
      <c r="DMZ260" s="35"/>
      <c r="DNA260" s="35"/>
      <c r="DNB260" s="35"/>
      <c r="DNC260" s="35"/>
      <c r="DND260" s="35"/>
      <c r="DNE260" s="35"/>
      <c r="DNF260" s="35"/>
      <c r="DNG260" s="35"/>
      <c r="DNH260" s="35"/>
      <c r="DNI260" s="35"/>
      <c r="DNJ260" s="35"/>
      <c r="DNK260" s="35"/>
      <c r="DNL260" s="35"/>
      <c r="DNM260" s="35"/>
      <c r="DNN260" s="35"/>
      <c r="DNO260" s="35"/>
      <c r="DNP260" s="35"/>
      <c r="DNQ260" s="35"/>
      <c r="DNR260" s="35"/>
      <c r="DNS260" s="35"/>
      <c r="DNT260" s="35"/>
      <c r="DNU260" s="35"/>
      <c r="DNV260" s="35"/>
      <c r="DNW260" s="35"/>
      <c r="DNX260" s="35"/>
      <c r="DNY260" s="35"/>
      <c r="DNZ260" s="35"/>
      <c r="DOA260" s="35"/>
      <c r="DOB260" s="35"/>
      <c r="DOC260" s="35"/>
      <c r="DOD260" s="35"/>
      <c r="DOE260" s="35"/>
      <c r="DOF260" s="35"/>
      <c r="DOG260" s="35"/>
      <c r="DOH260" s="35"/>
      <c r="DOI260" s="35"/>
      <c r="DOJ260" s="35"/>
      <c r="DOK260" s="35"/>
      <c r="DOL260" s="35"/>
      <c r="DOM260" s="35"/>
      <c r="DON260" s="35"/>
      <c r="DOO260" s="35"/>
      <c r="DOP260" s="35"/>
      <c r="DOQ260" s="35"/>
      <c r="DOR260" s="35"/>
      <c r="DOS260" s="35"/>
      <c r="DOT260" s="35"/>
      <c r="DOU260" s="35"/>
      <c r="DOV260" s="35"/>
      <c r="DOW260" s="35"/>
      <c r="DOX260" s="35"/>
      <c r="DOY260" s="35"/>
      <c r="DOZ260" s="35"/>
      <c r="DPA260" s="35"/>
      <c r="DPB260" s="35"/>
      <c r="DPC260" s="35"/>
      <c r="DPD260" s="35"/>
      <c r="DPE260" s="35"/>
      <c r="DPF260" s="35"/>
      <c r="DPG260" s="35"/>
      <c r="DPH260" s="35"/>
      <c r="DPI260" s="35"/>
      <c r="DPJ260" s="35"/>
      <c r="DPK260" s="35"/>
      <c r="DPL260" s="35"/>
      <c r="DPM260" s="35"/>
      <c r="DPN260" s="35"/>
      <c r="DPO260" s="35"/>
      <c r="DPP260" s="35"/>
      <c r="DPQ260" s="35"/>
      <c r="DPR260" s="35"/>
      <c r="DPS260" s="35"/>
      <c r="DPT260" s="35"/>
      <c r="DPU260" s="35"/>
      <c r="DPV260" s="35"/>
      <c r="DPW260" s="35"/>
      <c r="DPX260" s="35"/>
      <c r="DPY260" s="35"/>
      <c r="DPZ260" s="35"/>
      <c r="DQA260" s="35"/>
      <c r="DQB260" s="35"/>
      <c r="DQC260" s="35"/>
      <c r="DQD260" s="35"/>
      <c r="DQE260" s="35"/>
      <c r="DQF260" s="35"/>
      <c r="DQG260" s="35"/>
      <c r="DQH260" s="35"/>
      <c r="DQI260" s="35"/>
      <c r="DQJ260" s="35"/>
      <c r="DQK260" s="35"/>
      <c r="DQL260" s="35"/>
      <c r="DQM260" s="35"/>
      <c r="DQN260" s="35"/>
      <c r="DQO260" s="35"/>
      <c r="DQP260" s="35"/>
      <c r="DQQ260" s="35"/>
      <c r="DQR260" s="35"/>
      <c r="DQS260" s="35"/>
      <c r="DQT260" s="35"/>
      <c r="DQU260" s="35"/>
      <c r="DQV260" s="35"/>
      <c r="DQW260" s="35"/>
      <c r="DQX260" s="35"/>
      <c r="DQY260" s="35"/>
      <c r="DQZ260" s="35"/>
      <c r="DRA260" s="35"/>
      <c r="DRB260" s="35"/>
      <c r="DRC260" s="35"/>
      <c r="DRD260" s="35"/>
      <c r="DRE260" s="35"/>
      <c r="DRF260" s="35"/>
      <c r="DRG260" s="35"/>
      <c r="DRH260" s="35"/>
      <c r="DRI260" s="35"/>
      <c r="DRJ260" s="35"/>
      <c r="DRK260" s="35"/>
      <c r="DRL260" s="35"/>
      <c r="DRM260" s="35"/>
      <c r="DRN260" s="35"/>
      <c r="DRO260" s="35"/>
      <c r="DRP260" s="35"/>
      <c r="DRQ260" s="35"/>
      <c r="DRR260" s="35"/>
      <c r="DRS260" s="35"/>
      <c r="DRT260" s="35"/>
      <c r="DRU260" s="35"/>
      <c r="DRV260" s="35"/>
      <c r="DRW260" s="35"/>
      <c r="DRX260" s="35"/>
      <c r="DRY260" s="35"/>
      <c r="DRZ260" s="35"/>
      <c r="DSA260" s="35"/>
      <c r="DSB260" s="35"/>
      <c r="DSC260" s="35"/>
      <c r="DSD260" s="35"/>
      <c r="DSE260" s="35"/>
      <c r="DSF260" s="35"/>
      <c r="DSG260" s="35"/>
      <c r="DSH260" s="35"/>
      <c r="DSI260" s="35"/>
      <c r="DSJ260" s="35"/>
      <c r="DSK260" s="35"/>
      <c r="DSL260" s="35"/>
      <c r="DSM260" s="35"/>
      <c r="DSN260" s="35"/>
      <c r="DSO260" s="35"/>
      <c r="DSP260" s="35"/>
      <c r="DSQ260" s="35"/>
      <c r="DSR260" s="35"/>
      <c r="DSS260" s="35"/>
      <c r="DST260" s="35"/>
      <c r="DSU260" s="35"/>
      <c r="DSV260" s="35"/>
      <c r="DSW260" s="35"/>
      <c r="DSX260" s="35"/>
      <c r="DSY260" s="35"/>
      <c r="DSZ260" s="35"/>
      <c r="DTA260" s="35"/>
      <c r="DTB260" s="35"/>
      <c r="DTC260" s="35"/>
      <c r="DTD260" s="35"/>
      <c r="DTE260" s="35"/>
      <c r="DTF260" s="35"/>
      <c r="DTG260" s="35"/>
      <c r="DTH260" s="35"/>
      <c r="DTI260" s="35"/>
      <c r="DTJ260" s="35"/>
      <c r="DTK260" s="35"/>
      <c r="DTL260" s="35"/>
      <c r="DTM260" s="35"/>
      <c r="DTN260" s="35"/>
      <c r="DTO260" s="35"/>
      <c r="DTP260" s="35"/>
      <c r="DTQ260" s="35"/>
      <c r="DTR260" s="35"/>
      <c r="DTS260" s="35"/>
      <c r="DTT260" s="35"/>
      <c r="DTU260" s="35"/>
      <c r="DTV260" s="35"/>
      <c r="DTW260" s="35"/>
      <c r="DTX260" s="35"/>
      <c r="DTY260" s="35"/>
      <c r="DTZ260" s="35"/>
      <c r="DUA260" s="35"/>
      <c r="DUB260" s="35"/>
      <c r="DUC260" s="35"/>
      <c r="DUD260" s="35"/>
      <c r="DUE260" s="35"/>
      <c r="DUF260" s="35"/>
      <c r="DUG260" s="35"/>
      <c r="DUH260" s="35"/>
      <c r="DUI260" s="35"/>
      <c r="DUJ260" s="35"/>
      <c r="DUK260" s="35"/>
      <c r="DUL260" s="35"/>
      <c r="DUM260" s="35"/>
      <c r="DUN260" s="35"/>
      <c r="DUO260" s="35"/>
      <c r="DUP260" s="35"/>
      <c r="DUQ260" s="35"/>
      <c r="DUR260" s="35"/>
      <c r="DUS260" s="35"/>
      <c r="DUT260" s="35"/>
      <c r="DUU260" s="35"/>
      <c r="DUV260" s="35"/>
      <c r="DUW260" s="35"/>
      <c r="DUX260" s="35"/>
      <c r="DUY260" s="35"/>
      <c r="DUZ260" s="35"/>
      <c r="DVA260" s="35"/>
      <c r="DVB260" s="35"/>
      <c r="DVC260" s="35"/>
      <c r="DVD260" s="35"/>
      <c r="DVE260" s="35"/>
      <c r="DVF260" s="35"/>
      <c r="DVG260" s="35"/>
      <c r="DVH260" s="35"/>
      <c r="DVI260" s="35"/>
      <c r="DVJ260" s="35"/>
      <c r="DVK260" s="35"/>
      <c r="DVL260" s="35"/>
      <c r="DVM260" s="35"/>
      <c r="DVN260" s="35"/>
      <c r="DVO260" s="35"/>
      <c r="DVP260" s="35"/>
      <c r="DVQ260" s="35"/>
      <c r="DVR260" s="35"/>
      <c r="DVS260" s="35"/>
      <c r="DVT260" s="35"/>
      <c r="DVU260" s="35"/>
      <c r="DVV260" s="35"/>
      <c r="DVW260" s="35"/>
      <c r="DVX260" s="35"/>
      <c r="DVY260" s="35"/>
      <c r="DVZ260" s="35"/>
      <c r="DWA260" s="35"/>
      <c r="DWB260" s="35"/>
      <c r="DWC260" s="35"/>
      <c r="DWD260" s="35"/>
      <c r="DWE260" s="35"/>
      <c r="DWF260" s="35"/>
      <c r="DWG260" s="35"/>
      <c r="DWH260" s="35"/>
      <c r="DWI260" s="35"/>
      <c r="DWJ260" s="35"/>
      <c r="DWK260" s="35"/>
      <c r="DWL260" s="35"/>
      <c r="DWM260" s="35"/>
      <c r="DWN260" s="35"/>
      <c r="DWO260" s="35"/>
      <c r="DWP260" s="35"/>
      <c r="DWQ260" s="35"/>
      <c r="DWR260" s="35"/>
      <c r="DWS260" s="35"/>
      <c r="DWT260" s="35"/>
      <c r="DWU260" s="35"/>
      <c r="DWV260" s="35"/>
      <c r="DWW260" s="35"/>
      <c r="DWX260" s="35"/>
      <c r="DWY260" s="35"/>
      <c r="DWZ260" s="35"/>
      <c r="DXA260" s="35"/>
      <c r="DXB260" s="35"/>
      <c r="DXC260" s="35"/>
      <c r="DXD260" s="35"/>
      <c r="DXE260" s="35"/>
      <c r="DXF260" s="35"/>
      <c r="DXG260" s="35"/>
      <c r="DXH260" s="35"/>
      <c r="DXI260" s="35"/>
      <c r="DXJ260" s="35"/>
      <c r="DXK260" s="35"/>
      <c r="DXL260" s="35"/>
      <c r="DXM260" s="35"/>
      <c r="DXN260" s="35"/>
      <c r="DXO260" s="35"/>
      <c r="DXP260" s="35"/>
      <c r="DXQ260" s="35"/>
      <c r="DXR260" s="35"/>
      <c r="DXS260" s="35"/>
      <c r="DXT260" s="35"/>
      <c r="DXU260" s="35"/>
      <c r="DXV260" s="35"/>
      <c r="DXW260" s="35"/>
      <c r="DXX260" s="35"/>
      <c r="DXY260" s="35"/>
      <c r="DXZ260" s="35"/>
      <c r="DYA260" s="35"/>
      <c r="DYB260" s="35"/>
      <c r="DYC260" s="35"/>
      <c r="DYD260" s="35"/>
      <c r="DYE260" s="35"/>
      <c r="DYF260" s="35"/>
      <c r="DYG260" s="35"/>
      <c r="DYH260" s="35"/>
      <c r="DYI260" s="35"/>
      <c r="DYJ260" s="35"/>
      <c r="DYK260" s="35"/>
      <c r="DYL260" s="35"/>
      <c r="DYM260" s="35"/>
      <c r="DYN260" s="35"/>
      <c r="DYO260" s="35"/>
      <c r="DYP260" s="35"/>
      <c r="DYQ260" s="35"/>
      <c r="DYR260" s="35"/>
      <c r="DYS260" s="35"/>
      <c r="DYT260" s="35"/>
      <c r="DYU260" s="35"/>
      <c r="DYV260" s="35"/>
      <c r="DYW260" s="35"/>
      <c r="DYX260" s="35"/>
      <c r="DYY260" s="35"/>
      <c r="DYZ260" s="35"/>
      <c r="DZA260" s="35"/>
      <c r="DZB260" s="35"/>
      <c r="DZC260" s="35"/>
      <c r="DZD260" s="35"/>
      <c r="DZE260" s="35"/>
      <c r="DZF260" s="35"/>
      <c r="DZG260" s="35"/>
      <c r="DZH260" s="35"/>
      <c r="DZI260" s="35"/>
      <c r="DZJ260" s="35"/>
      <c r="DZK260" s="35"/>
      <c r="DZL260" s="35"/>
      <c r="DZM260" s="35"/>
      <c r="DZN260" s="35"/>
      <c r="DZO260" s="35"/>
      <c r="DZP260" s="35"/>
      <c r="DZQ260" s="35"/>
      <c r="DZR260" s="35"/>
      <c r="DZS260" s="35"/>
      <c r="DZT260" s="35"/>
      <c r="DZU260" s="35"/>
      <c r="DZV260" s="35"/>
      <c r="DZW260" s="35"/>
      <c r="DZX260" s="35"/>
      <c r="DZY260" s="35"/>
      <c r="DZZ260" s="35"/>
      <c r="EAA260" s="35"/>
      <c r="EAB260" s="35"/>
      <c r="EAC260" s="35"/>
      <c r="EAD260" s="35"/>
      <c r="EAE260" s="35"/>
      <c r="EAF260" s="35"/>
      <c r="EAG260" s="35"/>
      <c r="EAH260" s="35"/>
      <c r="EAI260" s="35"/>
      <c r="EAJ260" s="35"/>
      <c r="EAK260" s="35"/>
      <c r="EAL260" s="35"/>
      <c r="EAM260" s="35"/>
      <c r="EAN260" s="35"/>
      <c r="EAO260" s="35"/>
      <c r="EAP260" s="35"/>
      <c r="EAQ260" s="35"/>
      <c r="EAR260" s="35"/>
      <c r="EAS260" s="35"/>
      <c r="EAT260" s="35"/>
      <c r="EAU260" s="35"/>
      <c r="EAV260" s="35"/>
      <c r="EAW260" s="35"/>
      <c r="EAX260" s="35"/>
      <c r="EAY260" s="35"/>
      <c r="EAZ260" s="35"/>
      <c r="EBA260" s="35"/>
      <c r="EBB260" s="35"/>
      <c r="EBC260" s="35"/>
      <c r="EBD260" s="35"/>
      <c r="EBE260" s="35"/>
      <c r="EBF260" s="35"/>
      <c r="EBG260" s="35"/>
      <c r="EBH260" s="35"/>
      <c r="EBI260" s="35"/>
      <c r="EBJ260" s="35"/>
      <c r="EBK260" s="35"/>
      <c r="EBL260" s="35"/>
      <c r="EBM260" s="35"/>
      <c r="EBN260" s="35"/>
      <c r="EBO260" s="35"/>
      <c r="EBP260" s="35"/>
      <c r="EBQ260" s="35"/>
      <c r="EBR260" s="35"/>
      <c r="EBS260" s="35"/>
      <c r="EBT260" s="35"/>
      <c r="EBU260" s="35"/>
      <c r="EBV260" s="35"/>
      <c r="EBW260" s="35"/>
      <c r="EBX260" s="35"/>
      <c r="EBY260" s="35"/>
      <c r="EBZ260" s="35"/>
      <c r="ECA260" s="35"/>
      <c r="ECB260" s="35"/>
      <c r="ECC260" s="35"/>
      <c r="ECD260" s="35"/>
      <c r="ECE260" s="35"/>
      <c r="ECF260" s="35"/>
      <c r="ECG260" s="35"/>
      <c r="ECH260" s="35"/>
      <c r="ECI260" s="35"/>
      <c r="ECJ260" s="35"/>
      <c r="ECK260" s="35"/>
      <c r="ECL260" s="35"/>
      <c r="ECM260" s="35"/>
      <c r="ECN260" s="35"/>
      <c r="ECO260" s="35"/>
      <c r="ECP260" s="35"/>
      <c r="ECQ260" s="35"/>
      <c r="ECR260" s="35"/>
      <c r="ECS260" s="35"/>
      <c r="ECT260" s="35"/>
      <c r="ECU260" s="35"/>
      <c r="ECV260" s="35"/>
      <c r="ECW260" s="35"/>
      <c r="ECX260" s="35"/>
      <c r="ECY260" s="35"/>
      <c r="ECZ260" s="35"/>
      <c r="EDA260" s="35"/>
      <c r="EDB260" s="35"/>
      <c r="EDC260" s="35"/>
      <c r="EDD260" s="35"/>
      <c r="EDE260" s="35"/>
      <c r="EDF260" s="35"/>
      <c r="EDG260" s="35"/>
      <c r="EDH260" s="35"/>
      <c r="EDI260" s="35"/>
      <c r="EDJ260" s="35"/>
      <c r="EDK260" s="35"/>
      <c r="EDL260" s="35"/>
      <c r="EDM260" s="35"/>
      <c r="EDN260" s="35"/>
      <c r="EDO260" s="35"/>
      <c r="EDP260" s="35"/>
      <c r="EDQ260" s="35"/>
      <c r="EDR260" s="35"/>
      <c r="EDS260" s="35"/>
      <c r="EDT260" s="35"/>
      <c r="EDU260" s="35"/>
      <c r="EDV260" s="35"/>
      <c r="EDW260" s="35"/>
      <c r="EDX260" s="35"/>
      <c r="EDY260" s="35"/>
      <c r="EDZ260" s="35"/>
      <c r="EEA260" s="35"/>
      <c r="EEB260" s="35"/>
      <c r="EEC260" s="35"/>
      <c r="EED260" s="35"/>
      <c r="EEE260" s="35"/>
      <c r="EEF260" s="35"/>
      <c r="EEG260" s="35"/>
      <c r="EEH260" s="35"/>
      <c r="EEI260" s="35"/>
      <c r="EEJ260" s="35"/>
      <c r="EEK260" s="35"/>
      <c r="EEL260" s="35"/>
      <c r="EEM260" s="35"/>
      <c r="EEN260" s="35"/>
      <c r="EEO260" s="35"/>
      <c r="EEP260" s="35"/>
      <c r="EEQ260" s="35"/>
      <c r="EER260" s="35"/>
      <c r="EES260" s="35"/>
      <c r="EET260" s="35"/>
      <c r="EEU260" s="35"/>
      <c r="EEV260" s="35"/>
      <c r="EEW260" s="35"/>
      <c r="EEX260" s="35"/>
      <c r="EEY260" s="35"/>
      <c r="EEZ260" s="35"/>
      <c r="EFA260" s="35"/>
      <c r="EFB260" s="35"/>
      <c r="EFC260" s="35"/>
      <c r="EFD260" s="35"/>
      <c r="EFE260" s="35"/>
      <c r="EFF260" s="35"/>
      <c r="EFG260" s="35"/>
      <c r="EFH260" s="35"/>
      <c r="EFI260" s="35"/>
      <c r="EFJ260" s="35"/>
      <c r="EFK260" s="35"/>
      <c r="EFL260" s="35"/>
      <c r="EFM260" s="35"/>
      <c r="EFN260" s="35"/>
      <c r="EFO260" s="35"/>
      <c r="EFP260" s="35"/>
      <c r="EFQ260" s="35"/>
      <c r="EFR260" s="35"/>
      <c r="EFS260" s="35"/>
      <c r="EFT260" s="35"/>
      <c r="EFU260" s="35"/>
      <c r="EFV260" s="35"/>
      <c r="EFW260" s="35"/>
      <c r="EFX260" s="35"/>
      <c r="EFY260" s="35"/>
      <c r="EFZ260" s="35"/>
      <c r="EGA260" s="35"/>
      <c r="EGB260" s="35"/>
      <c r="EGC260" s="35"/>
      <c r="EGD260" s="35"/>
      <c r="EGE260" s="35"/>
      <c r="EGF260" s="35"/>
      <c r="EGG260" s="35"/>
      <c r="EGH260" s="35"/>
      <c r="EGI260" s="35"/>
      <c r="EGJ260" s="35"/>
      <c r="EGK260" s="35"/>
      <c r="EGL260" s="35"/>
      <c r="EGM260" s="35"/>
      <c r="EGN260" s="35"/>
      <c r="EGO260" s="35"/>
      <c r="EGP260" s="35"/>
      <c r="EGQ260" s="35"/>
      <c r="EGR260" s="35"/>
      <c r="EGS260" s="35"/>
      <c r="EGT260" s="35"/>
      <c r="EGU260" s="35"/>
      <c r="EGV260" s="35"/>
      <c r="EGW260" s="35"/>
      <c r="EGX260" s="35"/>
      <c r="EGY260" s="35"/>
      <c r="EGZ260" s="35"/>
      <c r="EHA260" s="35"/>
      <c r="EHB260" s="35"/>
      <c r="EHC260" s="35"/>
      <c r="EHD260" s="35"/>
      <c r="EHE260" s="35"/>
      <c r="EHF260" s="35"/>
      <c r="EHG260" s="35"/>
      <c r="EHH260" s="35"/>
      <c r="EHI260" s="35"/>
      <c r="EHJ260" s="35"/>
      <c r="EHK260" s="35"/>
      <c r="EHL260" s="35"/>
      <c r="EHM260" s="35"/>
      <c r="EHN260" s="35"/>
      <c r="EHO260" s="35"/>
      <c r="EHP260" s="35"/>
      <c r="EHQ260" s="35"/>
      <c r="EHR260" s="35"/>
      <c r="EHS260" s="35"/>
      <c r="EHT260" s="35"/>
      <c r="EHU260" s="35"/>
      <c r="EHV260" s="35"/>
      <c r="EHW260" s="35"/>
      <c r="EHX260" s="35"/>
      <c r="EHY260" s="35"/>
      <c r="EHZ260" s="35"/>
      <c r="EIA260" s="35"/>
      <c r="EIB260" s="35"/>
      <c r="EIC260" s="35"/>
      <c r="EID260" s="35"/>
      <c r="EIE260" s="35"/>
      <c r="EIF260" s="35"/>
      <c r="EIG260" s="35"/>
      <c r="EIH260" s="35"/>
      <c r="EII260" s="35"/>
      <c r="EIJ260" s="35"/>
      <c r="EIK260" s="35"/>
      <c r="EIL260" s="35"/>
      <c r="EIM260" s="35"/>
      <c r="EIN260" s="35"/>
      <c r="EIO260" s="35"/>
      <c r="EIP260" s="35"/>
      <c r="EIQ260" s="35"/>
      <c r="EIR260" s="35"/>
      <c r="EIS260" s="35"/>
      <c r="EIT260" s="35"/>
      <c r="EIU260" s="35"/>
      <c r="EIV260" s="35"/>
      <c r="EIW260" s="35"/>
      <c r="EIX260" s="35"/>
      <c r="EIY260" s="35"/>
      <c r="EIZ260" s="35"/>
      <c r="EJA260" s="35"/>
      <c r="EJB260" s="35"/>
      <c r="EJC260" s="35"/>
      <c r="EJD260" s="35"/>
      <c r="EJE260" s="35"/>
      <c r="EJF260" s="35"/>
      <c r="EJG260" s="35"/>
      <c r="EJH260" s="35"/>
      <c r="EJI260" s="35"/>
      <c r="EJJ260" s="35"/>
      <c r="EJK260" s="35"/>
      <c r="EJL260" s="35"/>
      <c r="EJM260" s="35"/>
      <c r="EJN260" s="35"/>
      <c r="EJO260" s="35"/>
      <c r="EJP260" s="35"/>
      <c r="EJQ260" s="35"/>
      <c r="EJR260" s="35"/>
      <c r="EJS260" s="35"/>
      <c r="EJT260" s="35"/>
      <c r="EJU260" s="35"/>
      <c r="EJV260" s="35"/>
      <c r="EJW260" s="35"/>
      <c r="EJX260" s="35"/>
      <c r="EJY260" s="35"/>
      <c r="EJZ260" s="35"/>
      <c r="EKA260" s="35"/>
      <c r="EKB260" s="35"/>
      <c r="EKC260" s="35"/>
      <c r="EKD260" s="35"/>
      <c r="EKE260" s="35"/>
      <c r="EKF260" s="35"/>
      <c r="EKG260" s="35"/>
      <c r="EKH260" s="35"/>
      <c r="EKI260" s="35"/>
      <c r="EKJ260" s="35"/>
      <c r="EKK260" s="35"/>
      <c r="EKL260" s="35"/>
      <c r="EKM260" s="35"/>
      <c r="EKN260" s="35"/>
      <c r="EKO260" s="35"/>
      <c r="EKP260" s="35"/>
      <c r="EKQ260" s="35"/>
      <c r="EKR260" s="35"/>
      <c r="EKS260" s="35"/>
      <c r="EKT260" s="35"/>
      <c r="EKU260" s="35"/>
      <c r="EKV260" s="35"/>
      <c r="EKW260" s="35"/>
      <c r="EKX260" s="35"/>
      <c r="EKY260" s="35"/>
      <c r="EKZ260" s="35"/>
      <c r="ELA260" s="35"/>
      <c r="ELB260" s="35"/>
      <c r="ELC260" s="35"/>
      <c r="ELD260" s="35"/>
      <c r="ELE260" s="35"/>
      <c r="ELF260" s="35"/>
      <c r="ELG260" s="35"/>
      <c r="ELH260" s="35"/>
      <c r="ELI260" s="35"/>
      <c r="ELJ260" s="35"/>
      <c r="ELK260" s="35"/>
      <c r="ELL260" s="35"/>
      <c r="ELM260" s="35"/>
      <c r="ELN260" s="35"/>
      <c r="ELO260" s="35"/>
      <c r="ELP260" s="35"/>
      <c r="ELQ260" s="35"/>
      <c r="ELR260" s="35"/>
      <c r="ELS260" s="35"/>
      <c r="ELT260" s="35"/>
      <c r="ELU260" s="35"/>
      <c r="ELV260" s="35"/>
      <c r="ELW260" s="35"/>
      <c r="ELX260" s="35"/>
      <c r="ELY260" s="35"/>
      <c r="ELZ260" s="35"/>
      <c r="EMA260" s="35"/>
      <c r="EMB260" s="35"/>
      <c r="EMC260" s="35"/>
      <c r="EMD260" s="35"/>
      <c r="EME260" s="35"/>
      <c r="EMF260" s="35"/>
      <c r="EMG260" s="35"/>
      <c r="EMH260" s="35"/>
      <c r="EMI260" s="35"/>
      <c r="EMJ260" s="35"/>
      <c r="EMK260" s="35"/>
      <c r="EML260" s="35"/>
      <c r="EMM260" s="35"/>
      <c r="EMN260" s="35"/>
      <c r="EMO260" s="35"/>
      <c r="EMP260" s="35"/>
      <c r="EMQ260" s="35"/>
      <c r="EMR260" s="35"/>
      <c r="EMS260" s="35"/>
      <c r="EMT260" s="35"/>
      <c r="EMU260" s="35"/>
      <c r="EMV260" s="35"/>
      <c r="EMW260" s="35"/>
      <c r="EMX260" s="35"/>
      <c r="EMY260" s="35"/>
      <c r="EMZ260" s="35"/>
      <c r="ENA260" s="35"/>
      <c r="ENB260" s="35"/>
      <c r="ENC260" s="35"/>
      <c r="END260" s="35"/>
      <c r="ENE260" s="35"/>
      <c r="ENF260" s="35"/>
      <c r="ENG260" s="35"/>
      <c r="ENH260" s="35"/>
      <c r="ENI260" s="35"/>
      <c r="ENJ260" s="35"/>
      <c r="ENK260" s="35"/>
      <c r="ENL260" s="35"/>
      <c r="ENM260" s="35"/>
      <c r="ENN260" s="35"/>
      <c r="ENO260" s="35"/>
      <c r="ENP260" s="35"/>
      <c r="ENQ260" s="35"/>
      <c r="ENR260" s="35"/>
      <c r="ENS260" s="35"/>
      <c r="ENT260" s="35"/>
      <c r="ENU260" s="35"/>
      <c r="ENV260" s="35"/>
      <c r="ENW260" s="35"/>
      <c r="ENX260" s="35"/>
      <c r="ENY260" s="35"/>
      <c r="ENZ260" s="35"/>
      <c r="EOA260" s="35"/>
      <c r="EOB260" s="35"/>
      <c r="EOC260" s="35"/>
      <c r="EOD260" s="35"/>
      <c r="EOE260" s="35"/>
      <c r="EOF260" s="35"/>
      <c r="EOG260" s="35"/>
      <c r="EOH260" s="35"/>
      <c r="EOI260" s="35"/>
      <c r="EOJ260" s="35"/>
      <c r="EOK260" s="35"/>
      <c r="EOL260" s="35"/>
      <c r="EOM260" s="35"/>
      <c r="EON260" s="35"/>
      <c r="EOO260" s="35"/>
      <c r="EOP260" s="35"/>
      <c r="EOQ260" s="35"/>
      <c r="EOR260" s="35"/>
      <c r="EOS260" s="35"/>
      <c r="EOT260" s="35"/>
      <c r="EOU260" s="35"/>
      <c r="EOV260" s="35"/>
      <c r="EOW260" s="35"/>
      <c r="EOX260" s="35"/>
      <c r="EOY260" s="35"/>
      <c r="EOZ260" s="35"/>
      <c r="EPA260" s="35"/>
      <c r="EPB260" s="35"/>
      <c r="EPC260" s="35"/>
      <c r="EPD260" s="35"/>
      <c r="EPE260" s="35"/>
      <c r="EPF260" s="35"/>
      <c r="EPG260" s="35"/>
      <c r="EPH260" s="35"/>
      <c r="EPI260" s="35"/>
      <c r="EPJ260" s="35"/>
      <c r="EPK260" s="35"/>
      <c r="EPL260" s="35"/>
      <c r="EPM260" s="35"/>
      <c r="EPN260" s="35"/>
      <c r="EPO260" s="35"/>
      <c r="EPP260" s="35"/>
      <c r="EPQ260" s="35"/>
      <c r="EPR260" s="35"/>
      <c r="EPS260" s="35"/>
      <c r="EPT260" s="35"/>
      <c r="EPU260" s="35"/>
      <c r="EPV260" s="35"/>
      <c r="EPW260" s="35"/>
      <c r="EPX260" s="35"/>
      <c r="EPY260" s="35"/>
      <c r="EPZ260" s="35"/>
      <c r="EQA260" s="35"/>
      <c r="EQB260" s="35"/>
      <c r="EQC260" s="35"/>
      <c r="EQD260" s="35"/>
      <c r="EQE260" s="35"/>
      <c r="EQF260" s="35"/>
      <c r="EQG260" s="35"/>
      <c r="EQH260" s="35"/>
      <c r="EQI260" s="35"/>
      <c r="EQJ260" s="35"/>
      <c r="EQK260" s="35"/>
      <c r="EQL260" s="35"/>
      <c r="EQM260" s="35"/>
      <c r="EQN260" s="35"/>
      <c r="EQO260" s="35"/>
      <c r="EQP260" s="35"/>
      <c r="EQQ260" s="35"/>
      <c r="EQR260" s="35"/>
      <c r="EQS260" s="35"/>
      <c r="EQT260" s="35"/>
      <c r="EQU260" s="35"/>
      <c r="EQV260" s="35"/>
      <c r="EQW260" s="35"/>
      <c r="EQX260" s="35"/>
      <c r="EQY260" s="35"/>
      <c r="EQZ260" s="35"/>
      <c r="ERA260" s="35"/>
      <c r="ERB260" s="35"/>
      <c r="ERC260" s="35"/>
      <c r="ERD260" s="35"/>
      <c r="ERE260" s="35"/>
      <c r="ERF260" s="35"/>
      <c r="ERG260" s="35"/>
      <c r="ERH260" s="35"/>
      <c r="ERI260" s="35"/>
      <c r="ERJ260" s="35"/>
      <c r="ERK260" s="35"/>
      <c r="ERL260" s="35"/>
      <c r="ERM260" s="35"/>
      <c r="ERN260" s="35"/>
      <c r="ERO260" s="35"/>
      <c r="ERP260" s="35"/>
      <c r="ERQ260" s="35"/>
      <c r="ERR260" s="35"/>
      <c r="ERS260" s="35"/>
      <c r="ERT260" s="35"/>
      <c r="ERU260" s="35"/>
      <c r="ERV260" s="35"/>
      <c r="ERW260" s="35"/>
      <c r="ERX260" s="35"/>
      <c r="ERY260" s="35"/>
      <c r="ERZ260" s="35"/>
      <c r="ESA260" s="35"/>
      <c r="ESB260" s="35"/>
      <c r="ESC260" s="35"/>
      <c r="ESD260" s="35"/>
      <c r="ESE260" s="35"/>
      <c r="ESF260" s="35"/>
      <c r="ESG260" s="35"/>
      <c r="ESH260" s="35"/>
      <c r="ESI260" s="35"/>
      <c r="ESJ260" s="35"/>
      <c r="ESK260" s="35"/>
      <c r="ESL260" s="35"/>
      <c r="ESM260" s="35"/>
      <c r="ESN260" s="35"/>
      <c r="ESO260" s="35"/>
      <c r="ESP260" s="35"/>
      <c r="ESQ260" s="35"/>
      <c r="ESR260" s="35"/>
      <c r="ESS260" s="35"/>
      <c r="EST260" s="35"/>
      <c r="ESU260" s="35"/>
      <c r="ESV260" s="35"/>
      <c r="ESW260" s="35"/>
      <c r="ESX260" s="35"/>
      <c r="ESY260" s="35"/>
      <c r="ESZ260" s="35"/>
      <c r="ETA260" s="35"/>
      <c r="ETB260" s="35"/>
      <c r="ETC260" s="35"/>
      <c r="ETD260" s="35"/>
      <c r="ETE260" s="35"/>
      <c r="ETF260" s="35"/>
      <c r="ETG260" s="35"/>
      <c r="ETH260" s="35"/>
      <c r="ETI260" s="35"/>
      <c r="ETJ260" s="35"/>
      <c r="ETK260" s="35"/>
      <c r="ETL260" s="35"/>
      <c r="ETM260" s="35"/>
      <c r="ETN260" s="35"/>
      <c r="ETO260" s="35"/>
      <c r="ETP260" s="35"/>
      <c r="ETQ260" s="35"/>
      <c r="ETR260" s="35"/>
      <c r="ETS260" s="35"/>
      <c r="ETT260" s="35"/>
      <c r="ETU260" s="35"/>
      <c r="ETV260" s="35"/>
      <c r="ETW260" s="35"/>
      <c r="ETX260" s="35"/>
      <c r="ETY260" s="35"/>
      <c r="ETZ260" s="35"/>
      <c r="EUA260" s="35"/>
      <c r="EUB260" s="35"/>
      <c r="EUC260" s="35"/>
      <c r="EUD260" s="35"/>
      <c r="EUE260" s="35"/>
      <c r="EUF260" s="35"/>
      <c r="EUG260" s="35"/>
      <c r="EUH260" s="35"/>
      <c r="EUI260" s="35"/>
      <c r="EUJ260" s="35"/>
      <c r="EUK260" s="35"/>
      <c r="EUL260" s="35"/>
      <c r="EUM260" s="35"/>
      <c r="EUN260" s="35"/>
      <c r="EUO260" s="35"/>
      <c r="EUP260" s="35"/>
      <c r="EUQ260" s="35"/>
      <c r="EUR260" s="35"/>
      <c r="EUS260" s="35"/>
      <c r="EUT260" s="35"/>
      <c r="EUU260" s="35"/>
      <c r="EUV260" s="35"/>
      <c r="EUW260" s="35"/>
      <c r="EUX260" s="35"/>
      <c r="EUY260" s="35"/>
      <c r="EUZ260" s="35"/>
      <c r="EVA260" s="35"/>
      <c r="EVB260" s="35"/>
      <c r="EVC260" s="35"/>
      <c r="EVD260" s="35"/>
      <c r="EVE260" s="35"/>
      <c r="EVF260" s="35"/>
      <c r="EVG260" s="35"/>
      <c r="EVH260" s="35"/>
      <c r="EVI260" s="35"/>
      <c r="EVJ260" s="35"/>
      <c r="EVK260" s="35"/>
      <c r="EVL260" s="35"/>
      <c r="EVM260" s="35"/>
      <c r="EVN260" s="35"/>
      <c r="EVO260" s="35"/>
      <c r="EVP260" s="35"/>
      <c r="EVQ260" s="35"/>
      <c r="EVR260" s="35"/>
      <c r="EVS260" s="35"/>
      <c r="EVT260" s="35"/>
      <c r="EVU260" s="35"/>
      <c r="EVV260" s="35"/>
      <c r="EVW260" s="35"/>
      <c r="EVX260" s="35"/>
      <c r="EVY260" s="35"/>
      <c r="EVZ260" s="35"/>
      <c r="EWA260" s="35"/>
      <c r="EWB260" s="35"/>
      <c r="EWC260" s="35"/>
      <c r="EWD260" s="35"/>
      <c r="EWE260" s="35"/>
      <c r="EWF260" s="35"/>
      <c r="EWG260" s="35"/>
      <c r="EWH260" s="35"/>
      <c r="EWI260" s="35"/>
      <c r="EWJ260" s="35"/>
      <c r="EWK260" s="35"/>
      <c r="EWL260" s="35"/>
      <c r="EWM260" s="35"/>
      <c r="EWN260" s="35"/>
      <c r="EWO260" s="35"/>
      <c r="EWP260" s="35"/>
      <c r="EWQ260" s="35"/>
      <c r="EWR260" s="35"/>
      <c r="EWS260" s="35"/>
      <c r="EWT260" s="35"/>
      <c r="EWU260" s="35"/>
      <c r="EWV260" s="35"/>
      <c r="EWW260" s="35"/>
      <c r="EWX260" s="35"/>
      <c r="EWY260" s="35"/>
      <c r="EWZ260" s="35"/>
      <c r="EXA260" s="35"/>
      <c r="EXB260" s="35"/>
      <c r="EXC260" s="35"/>
      <c r="EXD260" s="35"/>
      <c r="EXE260" s="35"/>
      <c r="EXF260" s="35"/>
      <c r="EXG260" s="35"/>
      <c r="EXH260" s="35"/>
      <c r="EXI260" s="35"/>
      <c r="EXJ260" s="35"/>
      <c r="EXK260" s="35"/>
      <c r="EXL260" s="35"/>
      <c r="EXM260" s="35"/>
      <c r="EXN260" s="35"/>
      <c r="EXO260" s="35"/>
      <c r="EXP260" s="35"/>
      <c r="EXQ260" s="35"/>
      <c r="EXR260" s="35"/>
      <c r="EXS260" s="35"/>
      <c r="EXT260" s="35"/>
      <c r="EXU260" s="35"/>
      <c r="EXV260" s="35"/>
      <c r="EXW260" s="35"/>
      <c r="EXX260" s="35"/>
      <c r="EXY260" s="35"/>
      <c r="EXZ260" s="35"/>
      <c r="EYA260" s="35"/>
      <c r="EYB260" s="35"/>
      <c r="EYC260" s="35"/>
      <c r="EYD260" s="35"/>
      <c r="EYE260" s="35"/>
      <c r="EYF260" s="35"/>
      <c r="EYG260" s="35"/>
      <c r="EYH260" s="35"/>
      <c r="EYI260" s="35"/>
      <c r="EYJ260" s="35"/>
      <c r="EYK260" s="35"/>
      <c r="EYL260" s="35"/>
      <c r="EYM260" s="35"/>
      <c r="EYN260" s="35"/>
      <c r="EYO260" s="35"/>
      <c r="EYP260" s="35"/>
      <c r="EYQ260" s="35"/>
      <c r="EYR260" s="35"/>
      <c r="EYS260" s="35"/>
      <c r="EYT260" s="35"/>
      <c r="EYU260" s="35"/>
      <c r="EYV260" s="35"/>
      <c r="EYW260" s="35"/>
      <c r="EYX260" s="35"/>
      <c r="EYY260" s="35"/>
      <c r="EYZ260" s="35"/>
      <c r="EZA260" s="35"/>
      <c r="EZB260" s="35"/>
      <c r="EZC260" s="35"/>
      <c r="EZD260" s="35"/>
      <c r="EZE260" s="35"/>
      <c r="EZF260" s="35"/>
      <c r="EZG260" s="35"/>
      <c r="EZH260" s="35"/>
      <c r="EZI260" s="35"/>
      <c r="EZJ260" s="35"/>
      <c r="EZK260" s="35"/>
      <c r="EZL260" s="35"/>
      <c r="EZM260" s="35"/>
      <c r="EZN260" s="35"/>
      <c r="EZO260" s="35"/>
      <c r="EZP260" s="35"/>
      <c r="EZQ260" s="35"/>
      <c r="EZR260" s="35"/>
      <c r="EZS260" s="35"/>
      <c r="EZT260" s="35"/>
      <c r="EZU260" s="35"/>
      <c r="EZV260" s="35"/>
      <c r="EZW260" s="35"/>
      <c r="EZX260" s="35"/>
      <c r="EZY260" s="35"/>
      <c r="EZZ260" s="35"/>
      <c r="FAA260" s="35"/>
      <c r="FAB260" s="35"/>
      <c r="FAC260" s="35"/>
      <c r="FAD260" s="35"/>
      <c r="FAE260" s="35"/>
      <c r="FAF260" s="35"/>
      <c r="FAG260" s="35"/>
      <c r="FAH260" s="35"/>
      <c r="FAI260" s="35"/>
      <c r="FAJ260" s="35"/>
      <c r="FAK260" s="35"/>
      <c r="FAL260" s="35"/>
      <c r="FAM260" s="35"/>
      <c r="FAN260" s="35"/>
    </row>
    <row r="261" spans="1:4096" x14ac:dyDescent="0.35">
      <c r="D261" s="39" t="s">
        <v>206</v>
      </c>
      <c r="E261" s="38">
        <v>80000000</v>
      </c>
      <c r="F261" s="36">
        <v>140103</v>
      </c>
      <c r="G261" s="282">
        <v>0.05</v>
      </c>
      <c r="H261" s="380">
        <f t="shared" si="53"/>
        <v>1</v>
      </c>
      <c r="I261" s="68">
        <f t="shared" si="63"/>
        <v>4000000</v>
      </c>
      <c r="J261" s="68">
        <f t="shared" si="64"/>
        <v>0</v>
      </c>
      <c r="K261" s="68" t="b">
        <f t="shared" si="65"/>
        <v>0</v>
      </c>
      <c r="L261" s="68">
        <f t="shared" si="66"/>
        <v>0</v>
      </c>
      <c r="M261" s="68" t="b">
        <f t="shared" si="67"/>
        <v>0</v>
      </c>
      <c r="N261" s="68">
        <f t="shared" si="68"/>
        <v>0</v>
      </c>
    </row>
    <row r="262" spans="1:4096" x14ac:dyDescent="0.35">
      <c r="D262" s="39" t="s">
        <v>205</v>
      </c>
      <c r="E262" s="38">
        <v>384000000</v>
      </c>
      <c r="F262" s="36">
        <v>140104</v>
      </c>
      <c r="G262" s="282">
        <v>0.05</v>
      </c>
      <c r="H262" s="380">
        <f t="shared" si="53"/>
        <v>1</v>
      </c>
      <c r="I262" s="68">
        <f t="shared" si="63"/>
        <v>19200000</v>
      </c>
      <c r="J262" s="68">
        <f t="shared" si="64"/>
        <v>0</v>
      </c>
      <c r="K262" s="68" t="b">
        <f t="shared" si="65"/>
        <v>0</v>
      </c>
      <c r="L262" s="68">
        <f t="shared" si="66"/>
        <v>0</v>
      </c>
      <c r="M262" s="68" t="b">
        <f t="shared" si="67"/>
        <v>0</v>
      </c>
      <c r="N262" s="68">
        <f t="shared" si="68"/>
        <v>0</v>
      </c>
    </row>
    <row r="263" spans="1:4096" x14ac:dyDescent="0.35">
      <c r="D263" s="39" t="s">
        <v>204</v>
      </c>
      <c r="E263" s="38">
        <v>145000000</v>
      </c>
      <c r="F263" s="36">
        <v>140105</v>
      </c>
      <c r="G263" s="282">
        <v>0.05</v>
      </c>
      <c r="H263" s="380">
        <f t="shared" si="53"/>
        <v>1</v>
      </c>
      <c r="I263" s="68">
        <f t="shared" si="63"/>
        <v>7250000</v>
      </c>
      <c r="J263" s="68">
        <f t="shared" si="64"/>
        <v>0</v>
      </c>
      <c r="K263" s="68" t="b">
        <f t="shared" si="65"/>
        <v>0</v>
      </c>
      <c r="L263" s="68">
        <f t="shared" si="66"/>
        <v>0</v>
      </c>
      <c r="M263" s="68" t="b">
        <f t="shared" si="67"/>
        <v>0</v>
      </c>
      <c r="N263" s="68">
        <f t="shared" si="68"/>
        <v>0</v>
      </c>
    </row>
    <row r="264" spans="1:4096" x14ac:dyDescent="0.35">
      <c r="D264" s="39" t="s">
        <v>203</v>
      </c>
      <c r="E264" s="38">
        <v>11000000</v>
      </c>
      <c r="F264" s="36">
        <v>140106</v>
      </c>
      <c r="G264" s="282">
        <v>0.05</v>
      </c>
      <c r="H264" s="380">
        <f t="shared" si="53"/>
        <v>1</v>
      </c>
      <c r="I264" s="68">
        <f t="shared" si="63"/>
        <v>550000</v>
      </c>
      <c r="J264" s="68">
        <f t="shared" si="64"/>
        <v>0</v>
      </c>
      <c r="K264" s="68" t="b">
        <f t="shared" si="65"/>
        <v>0</v>
      </c>
      <c r="L264" s="68">
        <f t="shared" si="66"/>
        <v>0</v>
      </c>
      <c r="M264" s="68" t="b">
        <f t="shared" si="67"/>
        <v>0</v>
      </c>
      <c r="N264" s="68">
        <f t="shared" si="68"/>
        <v>0</v>
      </c>
    </row>
    <row r="265" spans="1:4096" x14ac:dyDescent="0.35">
      <c r="D265" s="39" t="s">
        <v>202</v>
      </c>
      <c r="E265" s="38">
        <v>426000000</v>
      </c>
      <c r="F265" s="36">
        <v>140101</v>
      </c>
      <c r="G265" s="282">
        <v>0.35</v>
      </c>
      <c r="H265" s="380">
        <f t="shared" ref="H265:H313" si="69">+IF(G265&lt;&gt;0, 1,0)</f>
        <v>1</v>
      </c>
      <c r="I265" s="68">
        <f t="shared" si="63"/>
        <v>149100000</v>
      </c>
      <c r="J265" s="68">
        <f t="shared" si="64"/>
        <v>0</v>
      </c>
      <c r="K265" s="68" t="b">
        <f t="shared" si="65"/>
        <v>0</v>
      </c>
      <c r="L265" s="68">
        <f t="shared" si="66"/>
        <v>0</v>
      </c>
      <c r="M265" s="68" t="b">
        <f t="shared" si="67"/>
        <v>0</v>
      </c>
      <c r="N265" s="68">
        <f t="shared" si="68"/>
        <v>0</v>
      </c>
    </row>
    <row r="266" spans="1:4096" x14ac:dyDescent="0.35">
      <c r="D266" s="39" t="s">
        <v>201</v>
      </c>
      <c r="E266" s="38">
        <v>101000000</v>
      </c>
      <c r="F266" s="36">
        <v>140123</v>
      </c>
      <c r="G266" s="282">
        <v>0.05</v>
      </c>
      <c r="H266" s="380">
        <f t="shared" si="69"/>
        <v>1</v>
      </c>
      <c r="I266" s="68">
        <f t="shared" si="63"/>
        <v>5050000</v>
      </c>
      <c r="J266" s="68">
        <f t="shared" si="64"/>
        <v>0</v>
      </c>
      <c r="K266" s="68" t="b">
        <f t="shared" si="65"/>
        <v>0</v>
      </c>
      <c r="L266" s="68">
        <f t="shared" si="66"/>
        <v>0</v>
      </c>
      <c r="M266" s="68" t="b">
        <f t="shared" si="67"/>
        <v>0</v>
      </c>
      <c r="N266" s="68">
        <f t="shared" si="68"/>
        <v>0</v>
      </c>
    </row>
    <row r="267" spans="1:4096" x14ac:dyDescent="0.35">
      <c r="D267" s="39" t="s">
        <v>200</v>
      </c>
      <c r="E267" s="38" t="s">
        <v>119</v>
      </c>
      <c r="F267" s="36">
        <v>550106</v>
      </c>
      <c r="G267" s="282">
        <v>0</v>
      </c>
      <c r="H267" s="380">
        <f t="shared" si="69"/>
        <v>0</v>
      </c>
      <c r="I267" s="68" t="str">
        <f t="shared" si="63"/>
        <v>0</v>
      </c>
      <c r="J267" s="68">
        <f t="shared" si="64"/>
        <v>0</v>
      </c>
      <c r="K267" s="68" t="b">
        <f t="shared" si="65"/>
        <v>0</v>
      </c>
      <c r="L267" s="68">
        <f t="shared" si="66"/>
        <v>0</v>
      </c>
      <c r="M267" s="68" t="b">
        <f t="shared" si="67"/>
        <v>1</v>
      </c>
      <c r="N267" s="68">
        <f t="shared" si="68"/>
        <v>0</v>
      </c>
    </row>
    <row r="268" spans="1:4096" x14ac:dyDescent="0.35">
      <c r="D268" s="39" t="s">
        <v>199</v>
      </c>
      <c r="E268" s="38">
        <v>600000000</v>
      </c>
      <c r="F268" s="36">
        <v>300210</v>
      </c>
      <c r="G268" s="282">
        <v>0</v>
      </c>
      <c r="H268" s="380">
        <f t="shared" si="69"/>
        <v>0</v>
      </c>
      <c r="I268" s="68">
        <f t="shared" si="63"/>
        <v>0</v>
      </c>
      <c r="J268" s="68">
        <f t="shared" si="64"/>
        <v>0</v>
      </c>
      <c r="K268" s="68" t="b">
        <f t="shared" si="65"/>
        <v>0</v>
      </c>
      <c r="L268" s="68">
        <f t="shared" si="66"/>
        <v>0</v>
      </c>
      <c r="M268" s="68" t="b">
        <f t="shared" si="67"/>
        <v>0</v>
      </c>
      <c r="N268" s="68">
        <f t="shared" si="68"/>
        <v>0</v>
      </c>
    </row>
    <row r="269" spans="1:4096" x14ac:dyDescent="0.35">
      <c r="F269" s="36"/>
      <c r="G269" s="282"/>
      <c r="H269" s="380">
        <f t="shared" si="69"/>
        <v>0</v>
      </c>
      <c r="I269" s="68"/>
      <c r="J269" s="68"/>
      <c r="K269" s="68"/>
      <c r="L269" s="68"/>
      <c r="M269" s="68"/>
      <c r="N269" s="68"/>
    </row>
    <row r="270" spans="1:4096" x14ac:dyDescent="0.35">
      <c r="D270" s="117" t="s">
        <v>198</v>
      </c>
      <c r="E270" s="300">
        <f>SUM(E271:E289)</f>
        <v>713000000</v>
      </c>
      <c r="F270" s="36"/>
      <c r="G270" s="282"/>
      <c r="H270" s="380">
        <f t="shared" si="69"/>
        <v>0</v>
      </c>
      <c r="I270" s="300">
        <f t="shared" ref="I270:N270" si="70">SUM(I271:I289)</f>
        <v>10600000</v>
      </c>
      <c r="J270" s="300">
        <f t="shared" si="70"/>
        <v>0</v>
      </c>
      <c r="K270" s="300">
        <f t="shared" si="70"/>
        <v>0</v>
      </c>
      <c r="L270" s="300">
        <f t="shared" si="70"/>
        <v>0</v>
      </c>
      <c r="M270" s="300">
        <f t="shared" si="70"/>
        <v>0</v>
      </c>
      <c r="N270" s="300">
        <f t="shared" si="70"/>
        <v>0</v>
      </c>
    </row>
    <row r="271" spans="1:4096" x14ac:dyDescent="0.35">
      <c r="D271" s="39" t="s">
        <v>197</v>
      </c>
      <c r="E271" s="38">
        <v>31000000</v>
      </c>
      <c r="F271" s="36">
        <v>50101</v>
      </c>
      <c r="G271" s="282">
        <v>0</v>
      </c>
      <c r="H271" s="380">
        <f t="shared" si="69"/>
        <v>0</v>
      </c>
      <c r="I271" s="68">
        <f t="shared" ref="I271:I289" si="71">IF(ISNUMBER(G271*E271),E271*G271,"0")</f>
        <v>0</v>
      </c>
      <c r="J271" s="68">
        <f t="shared" ref="J271:J289" si="72">IF(AND(NOT($M271),$G271="mix"),$E271,0)</f>
        <v>0</v>
      </c>
      <c r="K271" s="68" t="b">
        <f t="shared" ref="K271:K289" si="73">AND(M271,G271&gt;0)</f>
        <v>0</v>
      </c>
      <c r="L271" s="68">
        <f t="shared" ref="L271:L289" si="74">IF(AND(NOT($M271),$G271="inc"),$E271,0)</f>
        <v>0</v>
      </c>
      <c r="M271" s="68" t="b">
        <f t="shared" ref="M271:M289" si="75">NOT(ISNUMBER($E271))</f>
        <v>0</v>
      </c>
      <c r="N271" s="68">
        <f t="shared" ref="N271:N289" si="76">IF(AND(NOT(ISNUMBER(G271)),L271+K271+J271+I271=0),E271,0)</f>
        <v>0</v>
      </c>
      <c r="O271" s="1" t="s">
        <v>196</v>
      </c>
    </row>
    <row r="272" spans="1:4096" x14ac:dyDescent="0.35">
      <c r="D272" s="39" t="s">
        <v>195</v>
      </c>
      <c r="E272" s="38">
        <v>53000000</v>
      </c>
      <c r="F272" s="36">
        <v>50102</v>
      </c>
      <c r="G272" s="282">
        <v>0.2</v>
      </c>
      <c r="H272" s="380">
        <f t="shared" si="69"/>
        <v>1</v>
      </c>
      <c r="I272" s="68">
        <f t="shared" si="71"/>
        <v>10600000</v>
      </c>
      <c r="J272" s="68">
        <f t="shared" si="72"/>
        <v>0</v>
      </c>
      <c r="K272" s="68" t="b">
        <f t="shared" si="73"/>
        <v>0</v>
      </c>
      <c r="L272" s="68">
        <f t="shared" si="74"/>
        <v>0</v>
      </c>
      <c r="M272" s="68" t="b">
        <f t="shared" si="75"/>
        <v>0</v>
      </c>
      <c r="N272" s="68">
        <f t="shared" si="76"/>
        <v>0</v>
      </c>
      <c r="O272" s="1" t="s">
        <v>194</v>
      </c>
    </row>
    <row r="273" spans="4:15" ht="36" x14ac:dyDescent="0.35">
      <c r="D273" s="39" t="s">
        <v>193</v>
      </c>
      <c r="E273" s="38">
        <v>126000000</v>
      </c>
      <c r="F273" s="36">
        <v>50106</v>
      </c>
      <c r="G273" s="282">
        <v>0</v>
      </c>
      <c r="H273" s="380">
        <f t="shared" si="69"/>
        <v>0</v>
      </c>
      <c r="I273" s="68">
        <f t="shared" si="71"/>
        <v>0</v>
      </c>
      <c r="J273" s="68">
        <f t="shared" si="72"/>
        <v>0</v>
      </c>
      <c r="K273" s="68" t="b">
        <f t="shared" si="73"/>
        <v>0</v>
      </c>
      <c r="L273" s="68">
        <f t="shared" si="74"/>
        <v>0</v>
      </c>
      <c r="M273" s="68" t="b">
        <f t="shared" si="75"/>
        <v>0</v>
      </c>
      <c r="N273" s="68">
        <f t="shared" si="76"/>
        <v>0</v>
      </c>
      <c r="O273" s="1" t="s">
        <v>192</v>
      </c>
    </row>
    <row r="274" spans="4:15" ht="36" x14ac:dyDescent="0.35">
      <c r="D274" s="39" t="s">
        <v>191</v>
      </c>
      <c r="E274" s="38" t="s">
        <v>24</v>
      </c>
      <c r="F274" s="36">
        <v>50110</v>
      </c>
      <c r="G274" s="282">
        <v>0</v>
      </c>
      <c r="H274" s="380">
        <f t="shared" si="69"/>
        <v>0</v>
      </c>
      <c r="I274" s="68" t="str">
        <f t="shared" si="71"/>
        <v>0</v>
      </c>
      <c r="J274" s="68">
        <f t="shared" si="72"/>
        <v>0</v>
      </c>
      <c r="K274" s="68" t="b">
        <f t="shared" si="73"/>
        <v>0</v>
      </c>
      <c r="L274" s="68">
        <f t="shared" si="74"/>
        <v>0</v>
      </c>
      <c r="M274" s="68" t="b">
        <f t="shared" si="75"/>
        <v>1</v>
      </c>
      <c r="N274" s="68">
        <f t="shared" si="76"/>
        <v>0</v>
      </c>
      <c r="O274" s="1" t="s">
        <v>190</v>
      </c>
    </row>
    <row r="275" spans="4:15" ht="36" x14ac:dyDescent="0.35">
      <c r="D275" s="39" t="s">
        <v>189</v>
      </c>
      <c r="E275" s="38" t="s">
        <v>24</v>
      </c>
      <c r="F275" s="36">
        <v>50111</v>
      </c>
      <c r="G275" s="282">
        <v>0</v>
      </c>
      <c r="H275" s="380">
        <f t="shared" si="69"/>
        <v>0</v>
      </c>
      <c r="I275" s="68" t="str">
        <f t="shared" si="71"/>
        <v>0</v>
      </c>
      <c r="J275" s="68">
        <f t="shared" si="72"/>
        <v>0</v>
      </c>
      <c r="K275" s="68" t="b">
        <f t="shared" si="73"/>
        <v>0</v>
      </c>
      <c r="L275" s="68">
        <f t="shared" si="74"/>
        <v>0</v>
      </c>
      <c r="M275" s="68" t="b">
        <f t="shared" si="75"/>
        <v>1</v>
      </c>
      <c r="N275" s="68">
        <f t="shared" si="76"/>
        <v>0</v>
      </c>
      <c r="O275" s="1" t="s">
        <v>188</v>
      </c>
    </row>
    <row r="276" spans="4:15" ht="36" x14ac:dyDescent="0.35">
      <c r="D276" s="39" t="s">
        <v>187</v>
      </c>
      <c r="E276" s="38">
        <v>0</v>
      </c>
      <c r="F276" s="36">
        <v>50112</v>
      </c>
      <c r="G276" s="282">
        <v>0</v>
      </c>
      <c r="H276" s="380">
        <f t="shared" si="69"/>
        <v>0</v>
      </c>
      <c r="I276" s="68">
        <f t="shared" si="71"/>
        <v>0</v>
      </c>
      <c r="J276" s="68">
        <f t="shared" si="72"/>
        <v>0</v>
      </c>
      <c r="K276" s="68" t="b">
        <f t="shared" si="73"/>
        <v>0</v>
      </c>
      <c r="L276" s="68">
        <f t="shared" si="74"/>
        <v>0</v>
      </c>
      <c r="M276" s="68" t="b">
        <f t="shared" si="75"/>
        <v>0</v>
      </c>
      <c r="N276" s="68">
        <f t="shared" si="76"/>
        <v>0</v>
      </c>
      <c r="O276" s="1" t="s">
        <v>186</v>
      </c>
    </row>
    <row r="277" spans="4:15" ht="54" x14ac:dyDescent="0.35">
      <c r="D277" s="39" t="s">
        <v>185</v>
      </c>
      <c r="E277" s="38" t="s">
        <v>24</v>
      </c>
      <c r="F277" s="36">
        <v>50113</v>
      </c>
      <c r="G277" s="282">
        <v>0</v>
      </c>
      <c r="H277" s="380">
        <f t="shared" si="69"/>
        <v>0</v>
      </c>
      <c r="I277" s="68" t="str">
        <f t="shared" si="71"/>
        <v>0</v>
      </c>
      <c r="J277" s="68">
        <f t="shared" si="72"/>
        <v>0</v>
      </c>
      <c r="K277" s="68" t="b">
        <f t="shared" si="73"/>
        <v>0</v>
      </c>
      <c r="L277" s="68">
        <f t="shared" si="74"/>
        <v>0</v>
      </c>
      <c r="M277" s="68" t="b">
        <f t="shared" si="75"/>
        <v>1</v>
      </c>
      <c r="N277" s="68">
        <f t="shared" si="76"/>
        <v>0</v>
      </c>
      <c r="O277" s="1" t="s">
        <v>184</v>
      </c>
    </row>
    <row r="278" spans="4:15" x14ac:dyDescent="0.35">
      <c r="D278" s="39" t="s">
        <v>183</v>
      </c>
      <c r="E278" s="38">
        <v>35000000</v>
      </c>
      <c r="F278" s="36">
        <v>50201</v>
      </c>
      <c r="G278" s="282">
        <v>0</v>
      </c>
      <c r="H278" s="380">
        <f t="shared" si="69"/>
        <v>0</v>
      </c>
      <c r="I278" s="68">
        <f t="shared" si="71"/>
        <v>0</v>
      </c>
      <c r="J278" s="68">
        <f t="shared" si="72"/>
        <v>0</v>
      </c>
      <c r="K278" s="68" t="b">
        <f t="shared" si="73"/>
        <v>0</v>
      </c>
      <c r="L278" s="68">
        <f t="shared" si="74"/>
        <v>0</v>
      </c>
      <c r="M278" s="68" t="b">
        <f t="shared" si="75"/>
        <v>0</v>
      </c>
      <c r="N278" s="68">
        <f t="shared" si="76"/>
        <v>0</v>
      </c>
      <c r="O278" s="1" t="s">
        <v>182</v>
      </c>
    </row>
    <row r="279" spans="4:15" x14ac:dyDescent="0.35">
      <c r="D279" s="39" t="s">
        <v>181</v>
      </c>
      <c r="E279" s="38" t="s">
        <v>119</v>
      </c>
      <c r="F279" s="36">
        <v>50202</v>
      </c>
      <c r="G279" s="282">
        <v>0</v>
      </c>
      <c r="H279" s="380">
        <f t="shared" si="69"/>
        <v>0</v>
      </c>
      <c r="I279" s="68" t="str">
        <f t="shared" si="71"/>
        <v>0</v>
      </c>
      <c r="J279" s="68">
        <f t="shared" si="72"/>
        <v>0</v>
      </c>
      <c r="K279" s="68" t="b">
        <f t="shared" si="73"/>
        <v>0</v>
      </c>
      <c r="L279" s="68">
        <f t="shared" si="74"/>
        <v>0</v>
      </c>
      <c r="M279" s="68" t="b">
        <f t="shared" si="75"/>
        <v>1</v>
      </c>
      <c r="N279" s="68">
        <f t="shared" si="76"/>
        <v>0</v>
      </c>
      <c r="O279" s="1" t="s">
        <v>180</v>
      </c>
    </row>
    <row r="280" spans="4:15" x14ac:dyDescent="0.35">
      <c r="D280" s="39" t="s">
        <v>179</v>
      </c>
      <c r="E280" s="38" t="s">
        <v>24</v>
      </c>
      <c r="F280" s="36">
        <v>50203</v>
      </c>
      <c r="G280" s="282">
        <v>0</v>
      </c>
      <c r="H280" s="380">
        <f t="shared" si="69"/>
        <v>0</v>
      </c>
      <c r="I280" s="68" t="str">
        <f t="shared" si="71"/>
        <v>0</v>
      </c>
      <c r="J280" s="68">
        <f t="shared" si="72"/>
        <v>0</v>
      </c>
      <c r="K280" s="68" t="b">
        <f t="shared" si="73"/>
        <v>0</v>
      </c>
      <c r="L280" s="68">
        <f t="shared" si="74"/>
        <v>0</v>
      </c>
      <c r="M280" s="68" t="b">
        <f t="shared" si="75"/>
        <v>1</v>
      </c>
      <c r="N280" s="68">
        <f t="shared" si="76"/>
        <v>0</v>
      </c>
      <c r="O280" s="1" t="s">
        <v>178</v>
      </c>
    </row>
    <row r="281" spans="4:15" ht="36" x14ac:dyDescent="0.35">
      <c r="D281" s="39" t="s">
        <v>177</v>
      </c>
      <c r="E281" s="38">
        <v>156000000</v>
      </c>
      <c r="F281" s="36">
        <v>50204</v>
      </c>
      <c r="G281" s="282">
        <v>0</v>
      </c>
      <c r="H281" s="380">
        <f t="shared" si="69"/>
        <v>0</v>
      </c>
      <c r="I281" s="68">
        <f t="shared" si="71"/>
        <v>0</v>
      </c>
      <c r="J281" s="68">
        <f t="shared" si="72"/>
        <v>0</v>
      </c>
      <c r="K281" s="68" t="b">
        <f t="shared" si="73"/>
        <v>0</v>
      </c>
      <c r="L281" s="68">
        <f t="shared" si="74"/>
        <v>0</v>
      </c>
      <c r="M281" s="68" t="b">
        <f t="shared" si="75"/>
        <v>0</v>
      </c>
      <c r="N281" s="68">
        <f t="shared" si="76"/>
        <v>0</v>
      </c>
      <c r="O281" s="1" t="s">
        <v>176</v>
      </c>
    </row>
    <row r="282" spans="4:15" x14ac:dyDescent="0.35">
      <c r="D282" s="39" t="s">
        <v>175</v>
      </c>
      <c r="E282" s="38" t="s">
        <v>24</v>
      </c>
      <c r="F282" s="36">
        <v>90101</v>
      </c>
      <c r="G282" s="282">
        <v>0</v>
      </c>
      <c r="H282" s="380">
        <f t="shared" si="69"/>
        <v>0</v>
      </c>
      <c r="I282" s="68" t="str">
        <f t="shared" si="71"/>
        <v>0</v>
      </c>
      <c r="J282" s="68">
        <f t="shared" si="72"/>
        <v>0</v>
      </c>
      <c r="K282" s="68" t="b">
        <f t="shared" si="73"/>
        <v>0</v>
      </c>
      <c r="L282" s="68">
        <f t="shared" si="74"/>
        <v>0</v>
      </c>
      <c r="M282" s="68" t="b">
        <f t="shared" si="75"/>
        <v>1</v>
      </c>
      <c r="N282" s="68">
        <f t="shared" si="76"/>
        <v>0</v>
      </c>
      <c r="O282" s="1" t="s">
        <v>174</v>
      </c>
    </row>
    <row r="283" spans="4:15" ht="54" x14ac:dyDescent="0.35">
      <c r="D283" s="39" t="s">
        <v>173</v>
      </c>
      <c r="E283" s="38" t="s">
        <v>24</v>
      </c>
      <c r="F283" s="36">
        <v>90107</v>
      </c>
      <c r="G283" s="282">
        <v>0</v>
      </c>
      <c r="H283" s="380">
        <f t="shared" si="69"/>
        <v>0</v>
      </c>
      <c r="I283" s="68" t="str">
        <f t="shared" si="71"/>
        <v>0</v>
      </c>
      <c r="J283" s="68">
        <f t="shared" si="72"/>
        <v>0</v>
      </c>
      <c r="K283" s="68" t="b">
        <f t="shared" si="73"/>
        <v>0</v>
      </c>
      <c r="L283" s="68">
        <f t="shared" si="74"/>
        <v>0</v>
      </c>
      <c r="M283" s="68" t="b">
        <f t="shared" si="75"/>
        <v>1</v>
      </c>
      <c r="N283" s="68">
        <f t="shared" si="76"/>
        <v>0</v>
      </c>
      <c r="O283" s="1" t="s">
        <v>172</v>
      </c>
    </row>
    <row r="284" spans="4:15" ht="36" x14ac:dyDescent="0.35">
      <c r="D284" s="39" t="s">
        <v>171</v>
      </c>
      <c r="E284" s="38">
        <v>1000000</v>
      </c>
      <c r="F284" s="36">
        <v>90109</v>
      </c>
      <c r="G284" s="282">
        <v>0</v>
      </c>
      <c r="H284" s="380">
        <f t="shared" si="69"/>
        <v>0</v>
      </c>
      <c r="I284" s="68">
        <f t="shared" si="71"/>
        <v>0</v>
      </c>
      <c r="J284" s="68">
        <f t="shared" si="72"/>
        <v>0</v>
      </c>
      <c r="K284" s="68" t="b">
        <f t="shared" si="73"/>
        <v>0</v>
      </c>
      <c r="L284" s="68">
        <f t="shared" si="74"/>
        <v>0</v>
      </c>
      <c r="M284" s="68" t="b">
        <f t="shared" si="75"/>
        <v>0</v>
      </c>
      <c r="N284" s="68">
        <f t="shared" si="76"/>
        <v>0</v>
      </c>
      <c r="O284" s="1" t="s">
        <v>170</v>
      </c>
    </row>
    <row r="285" spans="4:15" ht="54" x14ac:dyDescent="0.35">
      <c r="D285" s="39" t="s">
        <v>169</v>
      </c>
      <c r="E285" s="38">
        <v>5000000</v>
      </c>
      <c r="F285" s="36">
        <v>90110</v>
      </c>
      <c r="G285" s="282">
        <v>0</v>
      </c>
      <c r="H285" s="380">
        <f t="shared" si="69"/>
        <v>0</v>
      </c>
      <c r="I285" s="68">
        <f t="shared" si="71"/>
        <v>0</v>
      </c>
      <c r="J285" s="68">
        <f t="shared" si="72"/>
        <v>0</v>
      </c>
      <c r="K285" s="68" t="b">
        <f t="shared" si="73"/>
        <v>0</v>
      </c>
      <c r="L285" s="68">
        <f t="shared" si="74"/>
        <v>0</v>
      </c>
      <c r="M285" s="68" t="b">
        <f t="shared" si="75"/>
        <v>0</v>
      </c>
      <c r="N285" s="68">
        <f t="shared" si="76"/>
        <v>0</v>
      </c>
      <c r="O285" s="1" t="s">
        <v>168</v>
      </c>
    </row>
    <row r="286" spans="4:15" x14ac:dyDescent="0.35">
      <c r="D286" s="39" t="s">
        <v>167</v>
      </c>
      <c r="E286" s="38" t="s">
        <v>24</v>
      </c>
      <c r="F286" s="36">
        <v>90111</v>
      </c>
      <c r="G286" s="282">
        <v>0</v>
      </c>
      <c r="H286" s="380">
        <f t="shared" si="69"/>
        <v>0</v>
      </c>
      <c r="I286" s="68" t="str">
        <f t="shared" si="71"/>
        <v>0</v>
      </c>
      <c r="J286" s="68">
        <f t="shared" si="72"/>
        <v>0</v>
      </c>
      <c r="K286" s="68" t="b">
        <f t="shared" si="73"/>
        <v>0</v>
      </c>
      <c r="L286" s="68">
        <f t="shared" si="74"/>
        <v>0</v>
      </c>
      <c r="M286" s="68" t="b">
        <f t="shared" si="75"/>
        <v>1</v>
      </c>
      <c r="N286" s="68">
        <f t="shared" si="76"/>
        <v>0</v>
      </c>
      <c r="O286" s="1" t="s">
        <v>166</v>
      </c>
    </row>
    <row r="287" spans="4:15" x14ac:dyDescent="0.35">
      <c r="D287" s="39" t="s">
        <v>165</v>
      </c>
      <c r="E287" s="38">
        <v>306000000</v>
      </c>
      <c r="F287" s="36">
        <v>90112</v>
      </c>
      <c r="G287" s="282">
        <v>0</v>
      </c>
      <c r="H287" s="380">
        <f t="shared" si="69"/>
        <v>0</v>
      </c>
      <c r="I287" s="68">
        <f t="shared" si="71"/>
        <v>0</v>
      </c>
      <c r="J287" s="68">
        <f t="shared" si="72"/>
        <v>0</v>
      </c>
      <c r="K287" s="68" t="b">
        <f t="shared" si="73"/>
        <v>0</v>
      </c>
      <c r="L287" s="68">
        <f t="shared" si="74"/>
        <v>0</v>
      </c>
      <c r="M287" s="68" t="b">
        <f t="shared" si="75"/>
        <v>0</v>
      </c>
      <c r="N287" s="68">
        <f t="shared" si="76"/>
        <v>0</v>
      </c>
      <c r="O287" s="1" t="s">
        <v>164</v>
      </c>
    </row>
    <row r="288" spans="4:15" x14ac:dyDescent="0.35">
      <c r="D288" s="39" t="s">
        <v>163</v>
      </c>
      <c r="E288" s="38" t="s">
        <v>24</v>
      </c>
      <c r="F288" s="36">
        <v>90113</v>
      </c>
      <c r="G288" s="282">
        <v>0</v>
      </c>
      <c r="H288" s="380">
        <f t="shared" si="69"/>
        <v>0</v>
      </c>
      <c r="I288" s="68" t="str">
        <f t="shared" si="71"/>
        <v>0</v>
      </c>
      <c r="J288" s="68">
        <f t="shared" si="72"/>
        <v>0</v>
      </c>
      <c r="K288" s="68" t="b">
        <f t="shared" si="73"/>
        <v>0</v>
      </c>
      <c r="L288" s="68">
        <f t="shared" si="74"/>
        <v>0</v>
      </c>
      <c r="M288" s="68" t="b">
        <f t="shared" si="75"/>
        <v>1</v>
      </c>
      <c r="N288" s="68">
        <f t="shared" si="76"/>
        <v>0</v>
      </c>
      <c r="O288" s="1" t="s">
        <v>162</v>
      </c>
    </row>
    <row r="289" spans="4:15" ht="36" x14ac:dyDescent="0.35">
      <c r="D289" s="39" t="s">
        <v>161</v>
      </c>
      <c r="E289" s="38" t="s">
        <v>24</v>
      </c>
      <c r="F289" s="36">
        <v>90114</v>
      </c>
      <c r="G289" s="282">
        <v>0</v>
      </c>
      <c r="H289" s="380">
        <f t="shared" si="69"/>
        <v>0</v>
      </c>
      <c r="I289" s="68" t="str">
        <f t="shared" si="71"/>
        <v>0</v>
      </c>
      <c r="J289" s="68">
        <f t="shared" si="72"/>
        <v>0</v>
      </c>
      <c r="K289" s="68" t="b">
        <f t="shared" si="73"/>
        <v>0</v>
      </c>
      <c r="L289" s="68">
        <f t="shared" si="74"/>
        <v>0</v>
      </c>
      <c r="M289" s="68" t="b">
        <f t="shared" si="75"/>
        <v>1</v>
      </c>
      <c r="N289" s="68">
        <f t="shared" si="76"/>
        <v>0</v>
      </c>
      <c r="O289" s="1" t="s">
        <v>160</v>
      </c>
    </row>
    <row r="290" spans="4:15" x14ac:dyDescent="0.35">
      <c r="H290" s="37"/>
    </row>
    <row r="291" spans="4:15" x14ac:dyDescent="0.35">
      <c r="D291" s="117" t="s">
        <v>159</v>
      </c>
      <c r="E291" s="301">
        <f>SUM(E292:E313)</f>
        <v>1886000000</v>
      </c>
      <c r="F291" s="140"/>
      <c r="G291" s="282"/>
      <c r="H291" s="380">
        <f t="shared" si="69"/>
        <v>0</v>
      </c>
      <c r="I291" s="301">
        <f t="shared" ref="I291:N291" si="77">SUM(I292:I313)</f>
        <v>15000000</v>
      </c>
      <c r="J291" s="301">
        <f t="shared" si="77"/>
        <v>1443000000</v>
      </c>
      <c r="K291" s="300">
        <f t="shared" si="77"/>
        <v>0</v>
      </c>
      <c r="L291" s="300">
        <f t="shared" si="77"/>
        <v>0</v>
      </c>
      <c r="M291" s="300">
        <f t="shared" si="77"/>
        <v>0</v>
      </c>
      <c r="N291" s="300">
        <f t="shared" si="77"/>
        <v>0</v>
      </c>
    </row>
    <row r="292" spans="4:15" x14ac:dyDescent="0.35">
      <c r="D292" s="39" t="s">
        <v>158</v>
      </c>
      <c r="E292" s="38">
        <v>21000000</v>
      </c>
      <c r="F292" s="36">
        <v>90108</v>
      </c>
      <c r="G292" s="282">
        <v>0</v>
      </c>
      <c r="H292" s="380">
        <f t="shared" si="69"/>
        <v>0</v>
      </c>
      <c r="I292" s="68">
        <f t="shared" ref="I292:I313" si="78">IF(ISNUMBER(G292*E292),E292*G292,"0")</f>
        <v>0</v>
      </c>
      <c r="J292" s="68">
        <f t="shared" ref="J292:J313" si="79">IF(AND(NOT($M292),$G292="mix"),$E292,0)</f>
        <v>0</v>
      </c>
      <c r="K292" s="68" t="b">
        <f t="shared" ref="K292:K313" si="80">AND(M292,G292&gt;0)</f>
        <v>0</v>
      </c>
      <c r="L292" s="68">
        <f t="shared" ref="L292:L313" si="81">IF(AND(NOT($M292),$G292="inc"),$E292,0)</f>
        <v>0</v>
      </c>
      <c r="M292" s="68" t="b">
        <f t="shared" ref="M292:M313" si="82">NOT(ISNUMBER($E292))</f>
        <v>0</v>
      </c>
      <c r="N292" s="68">
        <f t="shared" ref="N292:N313" si="83">IF(AND(NOT(ISNUMBER(G292)),L292+K292+J292+I292=0),E292,0)</f>
        <v>0</v>
      </c>
      <c r="O292" s="1" t="s">
        <v>157</v>
      </c>
    </row>
    <row r="293" spans="4:15" ht="36" x14ac:dyDescent="0.35">
      <c r="D293" s="39" t="s">
        <v>156</v>
      </c>
      <c r="E293" s="38">
        <v>8000000</v>
      </c>
      <c r="F293" s="36">
        <v>90104</v>
      </c>
      <c r="G293" s="282" t="s">
        <v>27</v>
      </c>
      <c r="H293" s="380">
        <f t="shared" si="69"/>
        <v>1</v>
      </c>
      <c r="I293" s="68" t="str">
        <f t="shared" si="78"/>
        <v>0</v>
      </c>
      <c r="J293" s="68">
        <f t="shared" si="79"/>
        <v>8000000</v>
      </c>
      <c r="K293" s="68" t="b">
        <f t="shared" si="80"/>
        <v>0</v>
      </c>
      <c r="L293" s="68">
        <f t="shared" si="81"/>
        <v>0</v>
      </c>
      <c r="M293" s="68" t="b">
        <f t="shared" si="82"/>
        <v>0</v>
      </c>
      <c r="N293" s="68">
        <f t="shared" si="83"/>
        <v>0</v>
      </c>
      <c r="O293" s="1" t="s">
        <v>155</v>
      </c>
    </row>
    <row r="294" spans="4:15" ht="36" x14ac:dyDescent="0.35">
      <c r="D294" s="39" t="s">
        <v>154</v>
      </c>
      <c r="E294" s="38">
        <v>5000000</v>
      </c>
      <c r="F294" s="36">
        <v>40108</v>
      </c>
      <c r="G294" s="282">
        <v>0</v>
      </c>
      <c r="H294" s="380">
        <f t="shared" si="69"/>
        <v>0</v>
      </c>
      <c r="I294" s="68">
        <f t="shared" si="78"/>
        <v>0</v>
      </c>
      <c r="J294" s="68">
        <f t="shared" si="79"/>
        <v>0</v>
      </c>
      <c r="K294" s="68" t="b">
        <f t="shared" si="80"/>
        <v>0</v>
      </c>
      <c r="L294" s="68">
        <f t="shared" si="81"/>
        <v>0</v>
      </c>
      <c r="M294" s="68" t="b">
        <f t="shared" si="82"/>
        <v>0</v>
      </c>
      <c r="N294" s="68">
        <f t="shared" si="83"/>
        <v>0</v>
      </c>
      <c r="O294" s="1" t="s">
        <v>153</v>
      </c>
    </row>
    <row r="295" spans="4:15" ht="36" x14ac:dyDescent="0.35">
      <c r="D295" s="39" t="s">
        <v>152</v>
      </c>
      <c r="E295" s="38">
        <v>831000000</v>
      </c>
      <c r="F295" s="36">
        <v>110224</v>
      </c>
      <c r="G295" s="282" t="s">
        <v>27</v>
      </c>
      <c r="H295" s="380">
        <f t="shared" si="69"/>
        <v>1</v>
      </c>
      <c r="I295" s="68" t="str">
        <f t="shared" si="78"/>
        <v>0</v>
      </c>
      <c r="J295" s="68">
        <f t="shared" si="79"/>
        <v>831000000</v>
      </c>
      <c r="K295" s="68" t="b">
        <f t="shared" si="80"/>
        <v>0</v>
      </c>
      <c r="L295" s="68">
        <f t="shared" si="81"/>
        <v>0</v>
      </c>
      <c r="M295" s="68" t="b">
        <f t="shared" si="82"/>
        <v>0</v>
      </c>
      <c r="N295" s="68">
        <f t="shared" si="83"/>
        <v>0</v>
      </c>
      <c r="O295" s="1" t="s">
        <v>151</v>
      </c>
    </row>
    <row r="296" spans="4:15" x14ac:dyDescent="0.35">
      <c r="D296" s="39" t="s">
        <v>150</v>
      </c>
      <c r="E296" s="38">
        <v>323000000</v>
      </c>
      <c r="F296" s="36">
        <v>210325</v>
      </c>
      <c r="G296" s="282" t="s">
        <v>27</v>
      </c>
      <c r="H296" s="380">
        <f t="shared" si="69"/>
        <v>1</v>
      </c>
      <c r="I296" s="68" t="str">
        <f t="shared" si="78"/>
        <v>0</v>
      </c>
      <c r="J296" s="68">
        <f t="shared" si="79"/>
        <v>323000000</v>
      </c>
      <c r="K296" s="68" t="b">
        <f t="shared" si="80"/>
        <v>0</v>
      </c>
      <c r="L296" s="68">
        <f t="shared" si="81"/>
        <v>0</v>
      </c>
      <c r="M296" s="68" t="b">
        <f t="shared" si="82"/>
        <v>0</v>
      </c>
      <c r="N296" s="68">
        <f t="shared" si="83"/>
        <v>0</v>
      </c>
      <c r="O296" s="1" t="s">
        <v>149</v>
      </c>
    </row>
    <row r="297" spans="4:15" ht="36" x14ac:dyDescent="0.35">
      <c r="D297" s="39" t="s">
        <v>148</v>
      </c>
      <c r="E297" s="38">
        <v>182000000</v>
      </c>
      <c r="F297" s="36">
        <v>320136</v>
      </c>
      <c r="G297" s="282" t="s">
        <v>27</v>
      </c>
      <c r="H297" s="380">
        <f t="shared" si="69"/>
        <v>1</v>
      </c>
      <c r="I297" s="68" t="str">
        <f t="shared" si="78"/>
        <v>0</v>
      </c>
      <c r="J297" s="68">
        <f t="shared" si="79"/>
        <v>182000000</v>
      </c>
      <c r="K297" s="68" t="b">
        <f t="shared" si="80"/>
        <v>0</v>
      </c>
      <c r="L297" s="68">
        <f t="shared" si="81"/>
        <v>0</v>
      </c>
      <c r="M297" s="68" t="b">
        <f t="shared" si="82"/>
        <v>0</v>
      </c>
      <c r="N297" s="68">
        <f t="shared" si="83"/>
        <v>0</v>
      </c>
      <c r="O297" s="1" t="s">
        <v>147</v>
      </c>
    </row>
    <row r="298" spans="4:15" ht="36" x14ac:dyDescent="0.35">
      <c r="D298" s="39" t="s">
        <v>146</v>
      </c>
      <c r="E298" s="38">
        <v>110000000</v>
      </c>
      <c r="F298" s="36">
        <v>210322</v>
      </c>
      <c r="G298" s="282">
        <v>0</v>
      </c>
      <c r="H298" s="380">
        <f t="shared" si="69"/>
        <v>0</v>
      </c>
      <c r="I298" s="68">
        <f t="shared" si="78"/>
        <v>0</v>
      </c>
      <c r="J298" s="68">
        <f t="shared" si="79"/>
        <v>0</v>
      </c>
      <c r="K298" s="68" t="b">
        <f t="shared" si="80"/>
        <v>0</v>
      </c>
      <c r="L298" s="68">
        <f t="shared" si="81"/>
        <v>0</v>
      </c>
      <c r="M298" s="68" t="b">
        <f t="shared" si="82"/>
        <v>0</v>
      </c>
      <c r="N298" s="68">
        <f t="shared" si="83"/>
        <v>0</v>
      </c>
      <c r="O298" s="1" t="s">
        <v>145</v>
      </c>
    </row>
    <row r="299" spans="4:15" x14ac:dyDescent="0.35">
      <c r="D299" s="39" t="s">
        <v>144</v>
      </c>
      <c r="E299" s="38">
        <v>84000000</v>
      </c>
      <c r="F299" s="36">
        <v>210305</v>
      </c>
      <c r="G299" s="282" t="s">
        <v>27</v>
      </c>
      <c r="H299" s="380">
        <f t="shared" si="69"/>
        <v>1</v>
      </c>
      <c r="I299" s="68" t="str">
        <f t="shared" si="78"/>
        <v>0</v>
      </c>
      <c r="J299" s="68">
        <f t="shared" si="79"/>
        <v>84000000</v>
      </c>
      <c r="K299" s="68" t="b">
        <f t="shared" si="80"/>
        <v>0</v>
      </c>
      <c r="L299" s="68">
        <f t="shared" si="81"/>
        <v>0</v>
      </c>
      <c r="M299" s="68" t="b">
        <f t="shared" si="82"/>
        <v>0</v>
      </c>
      <c r="N299" s="68">
        <f t="shared" si="83"/>
        <v>0</v>
      </c>
      <c r="O299" s="1" t="s">
        <v>143</v>
      </c>
    </row>
    <row r="300" spans="4:15" ht="72" x14ac:dyDescent="0.35">
      <c r="D300" s="39" t="s">
        <v>142</v>
      </c>
      <c r="E300" s="38">
        <v>26000000</v>
      </c>
      <c r="F300" s="36">
        <v>110210</v>
      </c>
      <c r="G300" s="282">
        <v>0.2</v>
      </c>
      <c r="H300" s="380">
        <f t="shared" si="69"/>
        <v>1</v>
      </c>
      <c r="I300" s="68">
        <f t="shared" si="78"/>
        <v>5200000</v>
      </c>
      <c r="J300" s="68">
        <f t="shared" si="79"/>
        <v>0</v>
      </c>
      <c r="K300" s="68" t="b">
        <f t="shared" si="80"/>
        <v>0</v>
      </c>
      <c r="L300" s="68">
        <f t="shared" si="81"/>
        <v>0</v>
      </c>
      <c r="M300" s="68" t="b">
        <f t="shared" si="82"/>
        <v>0</v>
      </c>
      <c r="N300" s="68">
        <f t="shared" si="83"/>
        <v>0</v>
      </c>
      <c r="O300" s="1" t="s">
        <v>141</v>
      </c>
    </row>
    <row r="301" spans="4:15" ht="36" x14ac:dyDescent="0.35">
      <c r="D301" s="39" t="s">
        <v>140</v>
      </c>
      <c r="E301" s="38">
        <v>17000000</v>
      </c>
      <c r="F301" s="36">
        <v>110256</v>
      </c>
      <c r="G301" s="282">
        <v>0.2</v>
      </c>
      <c r="H301" s="380">
        <f t="shared" si="69"/>
        <v>1</v>
      </c>
      <c r="I301" s="68">
        <f t="shared" si="78"/>
        <v>3400000</v>
      </c>
      <c r="J301" s="68">
        <f t="shared" si="79"/>
        <v>0</v>
      </c>
      <c r="K301" s="68" t="b">
        <f t="shared" si="80"/>
        <v>0</v>
      </c>
      <c r="L301" s="68">
        <f t="shared" si="81"/>
        <v>0</v>
      </c>
      <c r="M301" s="68" t="b">
        <f t="shared" si="82"/>
        <v>0</v>
      </c>
      <c r="N301" s="68">
        <f t="shared" si="83"/>
        <v>0</v>
      </c>
      <c r="O301" s="1" t="s">
        <v>139</v>
      </c>
    </row>
    <row r="302" spans="4:15" ht="36" x14ac:dyDescent="0.35">
      <c r="D302" s="39" t="s">
        <v>138</v>
      </c>
      <c r="E302" s="38">
        <v>15000000</v>
      </c>
      <c r="F302" s="36">
        <v>320113</v>
      </c>
      <c r="G302" s="282" t="s">
        <v>27</v>
      </c>
      <c r="H302" s="380">
        <f t="shared" si="69"/>
        <v>1</v>
      </c>
      <c r="I302" s="68" t="str">
        <f t="shared" si="78"/>
        <v>0</v>
      </c>
      <c r="J302" s="68">
        <f t="shared" si="79"/>
        <v>15000000</v>
      </c>
      <c r="K302" s="68" t="b">
        <f t="shared" si="80"/>
        <v>0</v>
      </c>
      <c r="L302" s="68">
        <f t="shared" si="81"/>
        <v>0</v>
      </c>
      <c r="M302" s="68" t="b">
        <f t="shared" si="82"/>
        <v>0</v>
      </c>
      <c r="N302" s="68">
        <f t="shared" si="83"/>
        <v>0</v>
      </c>
      <c r="O302" s="1" t="s">
        <v>137</v>
      </c>
    </row>
    <row r="303" spans="4:15" ht="54" x14ac:dyDescent="0.35">
      <c r="D303" s="39" t="s">
        <v>136</v>
      </c>
      <c r="E303" s="38">
        <v>11000000</v>
      </c>
      <c r="F303" s="36">
        <v>110259</v>
      </c>
      <c r="G303" s="282">
        <v>0.2</v>
      </c>
      <c r="H303" s="380">
        <f t="shared" si="69"/>
        <v>1</v>
      </c>
      <c r="I303" s="68">
        <f t="shared" si="78"/>
        <v>2200000</v>
      </c>
      <c r="J303" s="68">
        <f t="shared" si="79"/>
        <v>0</v>
      </c>
      <c r="K303" s="68" t="b">
        <f t="shared" si="80"/>
        <v>0</v>
      </c>
      <c r="L303" s="68">
        <f t="shared" si="81"/>
        <v>0</v>
      </c>
      <c r="M303" s="68" t="b">
        <f t="shared" si="82"/>
        <v>0</v>
      </c>
      <c r="N303" s="68">
        <f t="shared" si="83"/>
        <v>0</v>
      </c>
      <c r="O303" s="1" t="s">
        <v>135</v>
      </c>
    </row>
    <row r="304" spans="4:15" ht="36" x14ac:dyDescent="0.35">
      <c r="D304" s="39" t="s">
        <v>134</v>
      </c>
      <c r="E304" s="38">
        <v>6000000</v>
      </c>
      <c r="F304" s="36">
        <v>320146</v>
      </c>
      <c r="G304" s="282">
        <v>0.2</v>
      </c>
      <c r="H304" s="380">
        <f t="shared" si="69"/>
        <v>1</v>
      </c>
      <c r="I304" s="68">
        <f t="shared" si="78"/>
        <v>1200000</v>
      </c>
      <c r="J304" s="68">
        <f t="shared" si="79"/>
        <v>0</v>
      </c>
      <c r="K304" s="68" t="b">
        <f t="shared" si="80"/>
        <v>0</v>
      </c>
      <c r="L304" s="68">
        <f t="shared" si="81"/>
        <v>0</v>
      </c>
      <c r="M304" s="68" t="b">
        <f t="shared" si="82"/>
        <v>0</v>
      </c>
      <c r="N304" s="68">
        <f t="shared" si="83"/>
        <v>0</v>
      </c>
      <c r="O304" s="1" t="s">
        <v>133</v>
      </c>
    </row>
    <row r="305" spans="2:15" ht="36" x14ac:dyDescent="0.35">
      <c r="D305" s="39" t="s">
        <v>132</v>
      </c>
      <c r="E305" s="38">
        <v>1000000</v>
      </c>
      <c r="F305" s="36">
        <v>300303</v>
      </c>
      <c r="G305" s="282">
        <v>0</v>
      </c>
      <c r="H305" s="380">
        <f t="shared" si="69"/>
        <v>0</v>
      </c>
      <c r="I305" s="68">
        <f t="shared" si="78"/>
        <v>0</v>
      </c>
      <c r="J305" s="68">
        <f t="shared" si="79"/>
        <v>0</v>
      </c>
      <c r="K305" s="68" t="b">
        <f t="shared" si="80"/>
        <v>0</v>
      </c>
      <c r="L305" s="68">
        <f t="shared" si="81"/>
        <v>0</v>
      </c>
      <c r="M305" s="68" t="b">
        <f t="shared" si="82"/>
        <v>0</v>
      </c>
      <c r="N305" s="68">
        <f t="shared" si="83"/>
        <v>0</v>
      </c>
      <c r="O305" s="1" t="s">
        <v>131</v>
      </c>
    </row>
    <row r="306" spans="2:15" ht="36" x14ac:dyDescent="0.35">
      <c r="D306" s="39" t="s">
        <v>130</v>
      </c>
      <c r="E306" s="38" t="s">
        <v>24</v>
      </c>
      <c r="F306" s="36">
        <v>110258</v>
      </c>
      <c r="G306" s="282">
        <v>0.2</v>
      </c>
      <c r="H306" s="380">
        <f t="shared" si="69"/>
        <v>1</v>
      </c>
      <c r="I306" s="68" t="str">
        <f t="shared" si="78"/>
        <v>0</v>
      </c>
      <c r="J306" s="68">
        <f t="shared" si="79"/>
        <v>0</v>
      </c>
      <c r="K306" s="68" t="b">
        <f t="shared" si="80"/>
        <v>1</v>
      </c>
      <c r="L306" s="68">
        <f t="shared" si="81"/>
        <v>0</v>
      </c>
      <c r="M306" s="68" t="b">
        <f t="shared" si="82"/>
        <v>1</v>
      </c>
      <c r="N306" s="68">
        <f t="shared" si="83"/>
        <v>0</v>
      </c>
      <c r="O306" s="1" t="s">
        <v>129</v>
      </c>
    </row>
    <row r="307" spans="2:15" x14ac:dyDescent="0.35">
      <c r="D307" s="39" t="s">
        <v>128</v>
      </c>
      <c r="E307" s="38">
        <v>13000000</v>
      </c>
      <c r="F307" s="36">
        <v>50109</v>
      </c>
      <c r="G307" s="282">
        <v>0</v>
      </c>
      <c r="H307" s="380">
        <f t="shared" si="69"/>
        <v>0</v>
      </c>
      <c r="I307" s="68">
        <f t="shared" si="78"/>
        <v>0</v>
      </c>
      <c r="J307" s="68">
        <f t="shared" si="79"/>
        <v>0</v>
      </c>
      <c r="K307" s="68" t="b">
        <f t="shared" si="80"/>
        <v>0</v>
      </c>
      <c r="L307" s="68">
        <f t="shared" si="81"/>
        <v>0</v>
      </c>
      <c r="M307" s="68" t="b">
        <f t="shared" si="82"/>
        <v>0</v>
      </c>
      <c r="N307" s="68">
        <f t="shared" si="83"/>
        <v>0</v>
      </c>
      <c r="O307" s="1" t="s">
        <v>127</v>
      </c>
    </row>
    <row r="308" spans="2:15" x14ac:dyDescent="0.35">
      <c r="D308" s="39" t="s">
        <v>126</v>
      </c>
      <c r="E308" s="38" t="s">
        <v>24</v>
      </c>
      <c r="F308" s="36">
        <v>50107</v>
      </c>
      <c r="G308" s="282">
        <v>0</v>
      </c>
      <c r="H308" s="380">
        <f t="shared" si="69"/>
        <v>0</v>
      </c>
      <c r="I308" s="68" t="str">
        <f t="shared" si="78"/>
        <v>0</v>
      </c>
      <c r="J308" s="68">
        <f t="shared" si="79"/>
        <v>0</v>
      </c>
      <c r="K308" s="68" t="b">
        <f t="shared" si="80"/>
        <v>0</v>
      </c>
      <c r="L308" s="68">
        <f t="shared" si="81"/>
        <v>0</v>
      </c>
      <c r="M308" s="68" t="b">
        <f t="shared" si="82"/>
        <v>1</v>
      </c>
      <c r="N308" s="68">
        <f t="shared" si="83"/>
        <v>0</v>
      </c>
      <c r="O308" s="1" t="s">
        <v>125</v>
      </c>
    </row>
    <row r="309" spans="2:15" ht="36" x14ac:dyDescent="0.35">
      <c r="D309" s="39" t="s">
        <v>124</v>
      </c>
      <c r="E309" s="38">
        <v>20000000</v>
      </c>
      <c r="F309" s="36">
        <v>520112</v>
      </c>
      <c r="G309" s="282">
        <v>0</v>
      </c>
      <c r="H309" s="380">
        <f t="shared" si="69"/>
        <v>0</v>
      </c>
      <c r="I309" s="68">
        <f t="shared" si="78"/>
        <v>0</v>
      </c>
      <c r="J309" s="68">
        <f t="shared" si="79"/>
        <v>0</v>
      </c>
      <c r="K309" s="68" t="b">
        <f t="shared" si="80"/>
        <v>0</v>
      </c>
      <c r="L309" s="68">
        <f t="shared" si="81"/>
        <v>0</v>
      </c>
      <c r="M309" s="68" t="b">
        <f t="shared" si="82"/>
        <v>0</v>
      </c>
      <c r="N309" s="68">
        <f t="shared" si="83"/>
        <v>0</v>
      </c>
      <c r="O309" s="1" t="s">
        <v>123</v>
      </c>
    </row>
    <row r="310" spans="2:15" ht="36" x14ac:dyDescent="0.35">
      <c r="D310" s="39" t="s">
        <v>122</v>
      </c>
      <c r="E310" s="38" t="s">
        <v>119</v>
      </c>
      <c r="F310" s="36">
        <v>520128</v>
      </c>
      <c r="G310" s="282">
        <v>0</v>
      </c>
      <c r="H310" s="380">
        <f t="shared" si="69"/>
        <v>0</v>
      </c>
      <c r="I310" s="68" t="str">
        <f t="shared" si="78"/>
        <v>0</v>
      </c>
      <c r="J310" s="68">
        <f t="shared" si="79"/>
        <v>0</v>
      </c>
      <c r="K310" s="68" t="b">
        <f t="shared" si="80"/>
        <v>0</v>
      </c>
      <c r="L310" s="68">
        <f t="shared" si="81"/>
        <v>0</v>
      </c>
      <c r="M310" s="68" t="b">
        <f t="shared" si="82"/>
        <v>1</v>
      </c>
      <c r="N310" s="68">
        <f t="shared" si="83"/>
        <v>0</v>
      </c>
      <c r="O310" s="1" t="s">
        <v>121</v>
      </c>
    </row>
    <row r="311" spans="2:15" ht="72" x14ac:dyDescent="0.35">
      <c r="D311" s="39" t="s">
        <v>120</v>
      </c>
      <c r="E311" s="38" t="s">
        <v>119</v>
      </c>
      <c r="F311" s="36">
        <v>550105</v>
      </c>
      <c r="G311" s="282">
        <v>0</v>
      </c>
      <c r="H311" s="380">
        <f t="shared" si="69"/>
        <v>0</v>
      </c>
      <c r="I311" s="68" t="str">
        <f t="shared" si="78"/>
        <v>0</v>
      </c>
      <c r="J311" s="68">
        <f t="shared" si="79"/>
        <v>0</v>
      </c>
      <c r="K311" s="68" t="b">
        <f t="shared" si="80"/>
        <v>0</v>
      </c>
      <c r="L311" s="68">
        <f t="shared" si="81"/>
        <v>0</v>
      </c>
      <c r="M311" s="68" t="b">
        <f t="shared" si="82"/>
        <v>1</v>
      </c>
      <c r="N311" s="68">
        <f t="shared" si="83"/>
        <v>0</v>
      </c>
    </row>
    <row r="312" spans="2:15" x14ac:dyDescent="0.35">
      <c r="D312" s="39" t="s">
        <v>118</v>
      </c>
      <c r="E312" s="38">
        <v>198000000</v>
      </c>
      <c r="F312" s="36">
        <v>730306</v>
      </c>
      <c r="G312" s="282">
        <v>0</v>
      </c>
      <c r="H312" s="380">
        <f t="shared" si="69"/>
        <v>0</v>
      </c>
      <c r="I312" s="68">
        <f t="shared" si="78"/>
        <v>0</v>
      </c>
      <c r="J312" s="68">
        <f t="shared" si="79"/>
        <v>0</v>
      </c>
      <c r="K312" s="68" t="b">
        <f t="shared" si="80"/>
        <v>0</v>
      </c>
      <c r="L312" s="68">
        <f t="shared" si="81"/>
        <v>0</v>
      </c>
      <c r="M312" s="68" t="b">
        <f t="shared" si="82"/>
        <v>0</v>
      </c>
      <c r="N312" s="68">
        <f t="shared" si="83"/>
        <v>0</v>
      </c>
    </row>
    <row r="313" spans="2:15" ht="54" x14ac:dyDescent="0.35">
      <c r="D313" s="39" t="s">
        <v>117</v>
      </c>
      <c r="E313" s="38">
        <v>15000000</v>
      </c>
      <c r="F313" s="36">
        <v>710110</v>
      </c>
      <c r="G313" s="282">
        <v>0.2</v>
      </c>
      <c r="H313" s="380">
        <f t="shared" si="69"/>
        <v>1</v>
      </c>
      <c r="I313" s="68">
        <f t="shared" si="78"/>
        <v>3000000</v>
      </c>
      <c r="J313" s="68">
        <f t="shared" si="79"/>
        <v>0</v>
      </c>
      <c r="K313" s="68" t="b">
        <f t="shared" si="80"/>
        <v>0</v>
      </c>
      <c r="L313" s="68">
        <f t="shared" si="81"/>
        <v>0</v>
      </c>
      <c r="M313" s="68" t="b">
        <f t="shared" si="82"/>
        <v>0</v>
      </c>
      <c r="N313" s="68">
        <f t="shared" si="83"/>
        <v>0</v>
      </c>
    </row>
    <row r="314" spans="2:15" x14ac:dyDescent="0.35">
      <c r="F314" s="36"/>
      <c r="G314" s="282"/>
      <c r="H314" s="380"/>
      <c r="I314" s="68"/>
      <c r="J314" s="68"/>
      <c r="K314" s="68"/>
      <c r="L314" s="68"/>
      <c r="M314" s="68"/>
      <c r="N314" s="68"/>
    </row>
    <row r="315" spans="2:15" x14ac:dyDescent="0.35">
      <c r="B315" s="23">
        <v>2</v>
      </c>
      <c r="D315" s="55" t="s">
        <v>15</v>
      </c>
      <c r="E315" s="54"/>
      <c r="F315" s="21"/>
      <c r="G315" s="53"/>
      <c r="H315" s="53"/>
      <c r="I315" s="21"/>
      <c r="J315" s="21"/>
      <c r="K315" s="21"/>
      <c r="L315" s="21"/>
      <c r="M315" s="21"/>
      <c r="N315" s="21"/>
    </row>
    <row r="316" spans="2:15" ht="90" x14ac:dyDescent="0.35">
      <c r="E316" s="20" t="s">
        <v>14</v>
      </c>
      <c r="G316" s="51" t="s">
        <v>13</v>
      </c>
      <c r="H316" s="51"/>
      <c r="I316" s="51" t="s">
        <v>12</v>
      </c>
      <c r="J316" s="51" t="s">
        <v>11</v>
      </c>
      <c r="K316" s="51" t="s">
        <v>10</v>
      </c>
      <c r="L316" s="51" t="s">
        <v>9</v>
      </c>
      <c r="M316" s="51"/>
      <c r="N316" s="51" t="s">
        <v>7</v>
      </c>
    </row>
    <row r="317" spans="2:15" x14ac:dyDescent="0.35">
      <c r="D317" s="18" t="s">
        <v>6</v>
      </c>
      <c r="E317" s="50">
        <f>E318</f>
        <v>1295.7694587199999</v>
      </c>
      <c r="F317" s="17"/>
      <c r="G317" s="49">
        <f t="shared" ref="G317:G327" si="84">I317/E317</f>
        <v>0</v>
      </c>
      <c r="H317" s="49"/>
      <c r="I317" s="16">
        <f>I318</f>
        <v>0</v>
      </c>
      <c r="J317" s="16">
        <f>J318</f>
        <v>254.8247167328571</v>
      </c>
      <c r="K317" s="16"/>
      <c r="L317" s="16">
        <f>L318</f>
        <v>24.531571428571429</v>
      </c>
      <c r="M317" s="16"/>
      <c r="N317" s="16">
        <f>N318</f>
        <v>0</v>
      </c>
    </row>
    <row r="318" spans="2:15" x14ac:dyDescent="0.35">
      <c r="D318" s="41" t="s">
        <v>116</v>
      </c>
      <c r="E318" s="438">
        <f>E7/1000000</f>
        <v>1295.7694587199999</v>
      </c>
      <c r="F318" s="14"/>
      <c r="G318" s="8">
        <f t="shared" si="84"/>
        <v>0</v>
      </c>
      <c r="H318" s="8"/>
      <c r="I318" s="12">
        <f>I7/1000000</f>
        <v>0</v>
      </c>
      <c r="J318" s="12">
        <f>J7/1000000</f>
        <v>254.8247167328571</v>
      </c>
      <c r="K318" s="12"/>
      <c r="L318" s="12">
        <f>L7/1000000</f>
        <v>24.531571428571429</v>
      </c>
      <c r="M318" s="12"/>
      <c r="N318" s="12">
        <f>N7/1000000</f>
        <v>0</v>
      </c>
    </row>
    <row r="319" spans="2:15" x14ac:dyDescent="0.35">
      <c r="D319" s="11" t="s">
        <v>115</v>
      </c>
      <c r="E319" s="48">
        <f>SUM(E320:E323)</f>
        <v>20636.190455</v>
      </c>
      <c r="F319" s="10"/>
      <c r="G319" s="45">
        <f t="shared" si="84"/>
        <v>8.4671300548917125E-2</v>
      </c>
      <c r="H319" s="45"/>
      <c r="I319" s="48">
        <f>SUM(I320:I323)</f>
        <v>1747.2930841999998</v>
      </c>
      <c r="J319" s="48">
        <f>SUM(J320:J323)</f>
        <v>7478.216246</v>
      </c>
      <c r="K319" s="7"/>
      <c r="L319" s="48">
        <f>SUM(L320:L323)</f>
        <v>470.67009000000002</v>
      </c>
      <c r="M319" s="7"/>
      <c r="N319" s="48">
        <f>SUM(N320:N323)</f>
        <v>42.448788</v>
      </c>
    </row>
    <row r="320" spans="2:15" x14ac:dyDescent="0.35">
      <c r="D320" s="42" t="s">
        <v>114</v>
      </c>
      <c r="E320" s="40">
        <f>E32/1000000</f>
        <v>1893.8380569999999</v>
      </c>
      <c r="F320" s="14"/>
      <c r="G320" s="8">
        <f t="shared" si="84"/>
        <v>4.2912914913505726E-2</v>
      </c>
      <c r="H320" s="8"/>
      <c r="I320" s="40">
        <f>I32/1000000</f>
        <v>81.270111400000005</v>
      </c>
      <c r="J320" s="40">
        <f>J32/1000000</f>
        <v>64.3</v>
      </c>
      <c r="K320" s="12"/>
      <c r="L320" s="40">
        <f>L32/1000000</f>
        <v>0</v>
      </c>
      <c r="M320" s="12"/>
      <c r="N320" s="40">
        <f>N32/1000000</f>
        <v>0</v>
      </c>
    </row>
    <row r="321" spans="1:24" x14ac:dyDescent="0.35">
      <c r="D321" s="39" t="s">
        <v>113</v>
      </c>
      <c r="E321" s="40">
        <f>E209/1000000</f>
        <v>2084.1999999999998</v>
      </c>
      <c r="G321" s="8">
        <f t="shared" si="84"/>
        <v>0</v>
      </c>
      <c r="H321" s="8"/>
      <c r="I321" s="40">
        <f>I209/1000000</f>
        <v>0</v>
      </c>
      <c r="J321" s="40">
        <f>J209/1000000</f>
        <v>2084.1999999999998</v>
      </c>
      <c r="L321" s="40">
        <f>L209/1000000</f>
        <v>0</v>
      </c>
      <c r="N321" s="40">
        <f>N209/1000000</f>
        <v>0</v>
      </c>
    </row>
    <row r="322" spans="1:24" x14ac:dyDescent="0.35">
      <c r="D322" s="42" t="s">
        <v>112</v>
      </c>
      <c r="E322" s="40">
        <f>E62/1000000</f>
        <v>10199.640531999999</v>
      </c>
      <c r="F322" s="14"/>
      <c r="G322" s="8">
        <f t="shared" si="84"/>
        <v>0.14851994001625468</v>
      </c>
      <c r="H322" s="8"/>
      <c r="I322" s="40">
        <f>I62/1000000</f>
        <v>1514.85</v>
      </c>
      <c r="J322" s="40">
        <f>J62/1000000</f>
        <v>1245.9000000000001</v>
      </c>
      <c r="K322" s="12"/>
      <c r="L322" s="40">
        <f>L62/1000000</f>
        <v>422.67009000000002</v>
      </c>
      <c r="M322" s="12"/>
      <c r="N322" s="40">
        <f>N62/1000000</f>
        <v>42.448788</v>
      </c>
    </row>
    <row r="323" spans="1:24" x14ac:dyDescent="0.35">
      <c r="D323" s="42" t="s">
        <v>111</v>
      </c>
      <c r="E323" s="40">
        <f>E110/1000000</f>
        <v>6458.5118659999998</v>
      </c>
      <c r="F323" s="14"/>
      <c r="G323" s="8">
        <f t="shared" si="84"/>
        <v>2.340678099483421E-2</v>
      </c>
      <c r="H323" s="8"/>
      <c r="I323" s="40">
        <f>I110/1000000</f>
        <v>151.17297280000003</v>
      </c>
      <c r="J323" s="40">
        <f>J110/1000000</f>
        <v>4083.8162459999999</v>
      </c>
      <c r="K323" s="12"/>
      <c r="L323" s="40">
        <f>L110/1000000</f>
        <v>48</v>
      </c>
      <c r="M323" s="12"/>
      <c r="N323" s="40">
        <f>N110/1000000</f>
        <v>0</v>
      </c>
    </row>
    <row r="324" spans="1:24" x14ac:dyDescent="0.35">
      <c r="D324" s="11" t="s">
        <v>110</v>
      </c>
      <c r="E324" s="48">
        <f>SUM(E325:E328)</f>
        <v>12813.1</v>
      </c>
      <c r="F324" s="10"/>
      <c r="G324" s="45">
        <f t="shared" si="84"/>
        <v>7.3237545949067742E-2</v>
      </c>
      <c r="H324" s="45"/>
      <c r="I324" s="48">
        <f>SUM(I325:I328)</f>
        <v>938.4</v>
      </c>
      <c r="J324" s="48">
        <f>SUM(J325:J328)</f>
        <v>1852.1</v>
      </c>
      <c r="K324" s="48"/>
      <c r="L324" s="48">
        <f>SUM(L325:L328)</f>
        <v>0</v>
      </c>
      <c r="M324" s="48"/>
      <c r="N324" s="48">
        <f>SUM(N325:N328)</f>
        <v>0</v>
      </c>
    </row>
    <row r="325" spans="1:24" x14ac:dyDescent="0.35">
      <c r="D325" s="42" t="s">
        <v>109</v>
      </c>
      <c r="E325" s="40">
        <f>E212/1000000</f>
        <v>10205</v>
      </c>
      <c r="F325" s="14"/>
      <c r="G325" s="8">
        <f t="shared" si="84"/>
        <v>8.9446349828515431E-2</v>
      </c>
      <c r="H325" s="8"/>
      <c r="I325" s="40">
        <f>I212/1000000</f>
        <v>912.8</v>
      </c>
      <c r="J325" s="40">
        <f>J212/1000000</f>
        <v>400</v>
      </c>
      <c r="K325" s="12"/>
      <c r="L325" s="40">
        <f>L212/1000000</f>
        <v>0</v>
      </c>
      <c r="M325" s="12"/>
      <c r="N325" s="12"/>
    </row>
    <row r="326" spans="1:24" x14ac:dyDescent="0.35">
      <c r="D326" s="39" t="s">
        <v>108</v>
      </c>
      <c r="E326" s="40">
        <f>E270/1000000</f>
        <v>713</v>
      </c>
      <c r="G326" s="8">
        <f t="shared" si="84"/>
        <v>1.4866760168302944E-2</v>
      </c>
      <c r="H326" s="8"/>
      <c r="I326" s="46">
        <f>I270/1000000</f>
        <v>10.6</v>
      </c>
      <c r="J326" s="46">
        <f>J270/1000000</f>
        <v>0</v>
      </c>
      <c r="L326" s="46">
        <f>L270/1000000</f>
        <v>0</v>
      </c>
      <c r="N326" s="46">
        <f>N270/1000000</f>
        <v>0</v>
      </c>
    </row>
    <row r="327" spans="1:24" x14ac:dyDescent="0.35">
      <c r="D327" s="42" t="s">
        <v>107</v>
      </c>
      <c r="E327" s="40">
        <f>E291/1000000</f>
        <v>1886</v>
      </c>
      <c r="F327" s="14"/>
      <c r="G327" s="8">
        <f t="shared" si="84"/>
        <v>7.9533404029692462E-3</v>
      </c>
      <c r="H327" s="8"/>
      <c r="I327" s="40">
        <f>I291/1000000</f>
        <v>15</v>
      </c>
      <c r="J327" s="40">
        <f>J291/1000000</f>
        <v>1443</v>
      </c>
      <c r="K327" s="12"/>
      <c r="L327" s="40">
        <f>L291/1000000</f>
        <v>0</v>
      </c>
      <c r="M327" s="12"/>
      <c r="N327" s="40">
        <f>N291/1000000</f>
        <v>0</v>
      </c>
    </row>
    <row r="328" spans="1:24" s="24" customFormat="1" x14ac:dyDescent="0.35">
      <c r="D328" s="42" t="s">
        <v>106</v>
      </c>
      <c r="E328" s="40">
        <f>E210/1000000</f>
        <v>9.1</v>
      </c>
      <c r="F328" s="10"/>
      <c r="G328" s="45"/>
      <c r="H328" s="45"/>
      <c r="I328" s="44">
        <f>I210/1000000</f>
        <v>0</v>
      </c>
      <c r="J328" s="40">
        <f>J210/1000000</f>
        <v>9.1</v>
      </c>
      <c r="K328" s="7"/>
      <c r="L328" s="44">
        <f>L210/1000000</f>
        <v>0</v>
      </c>
      <c r="M328" s="12"/>
      <c r="N328" s="44">
        <f>N210/1000000</f>
        <v>0</v>
      </c>
    </row>
    <row r="329" spans="1:24" s="35" customFormat="1" x14ac:dyDescent="0.35">
      <c r="A329" s="1"/>
      <c r="B329" s="1" t="s">
        <v>1</v>
      </c>
      <c r="C329" s="1" t="s">
        <v>1</v>
      </c>
      <c r="D329" s="6" t="s">
        <v>0</v>
      </c>
      <c r="E329" s="2">
        <f>E317+E319+E324</f>
        <v>34745.059913719997</v>
      </c>
      <c r="F329" s="5"/>
      <c r="G329" s="4">
        <f>I329/E329</f>
        <v>7.7297120536536576E-2</v>
      </c>
      <c r="H329" s="4"/>
      <c r="I329" s="2">
        <f>I317+I319+I324</f>
        <v>2685.6930841999997</v>
      </c>
      <c r="J329" s="2">
        <f>J317+J319+J324</f>
        <v>9585.1409627328576</v>
      </c>
      <c r="K329" s="2"/>
      <c r="L329" s="2">
        <f>L317+L319+L324</f>
        <v>495.20166142857147</v>
      </c>
      <c r="M329" s="2"/>
      <c r="N329" s="2">
        <f>N317+N319+N324</f>
        <v>42.448788</v>
      </c>
      <c r="O329" s="35" t="s">
        <v>1</v>
      </c>
    </row>
    <row r="330" spans="1:24" x14ac:dyDescent="0.35">
      <c r="H330" s="37"/>
    </row>
    <row r="331" spans="1:24" x14ac:dyDescent="0.35">
      <c r="B331" s="23">
        <v>3</v>
      </c>
      <c r="C331" s="1" t="s">
        <v>1</v>
      </c>
      <c r="D331" s="22" t="s">
        <v>954</v>
      </c>
      <c r="E331" s="21"/>
      <c r="F331" s="52"/>
      <c r="G331" s="21"/>
      <c r="H331" s="21"/>
      <c r="I331" s="21"/>
      <c r="J331" s="52"/>
      <c r="K331" s="52"/>
      <c r="L331" s="52"/>
      <c r="M331" s="52"/>
      <c r="N331" s="52"/>
      <c r="O331" s="21"/>
      <c r="P331" s="21"/>
      <c r="Q331" s="21"/>
      <c r="R331" s="21"/>
      <c r="S331" s="21"/>
      <c r="T331" s="21"/>
      <c r="U331" s="21"/>
      <c r="V331" s="21"/>
      <c r="W331" s="21"/>
      <c r="X331" s="21"/>
    </row>
    <row r="332" spans="1:24" x14ac:dyDescent="0.35">
      <c r="H332" s="37"/>
    </row>
    <row r="333" spans="1:24" ht="56.25" customHeight="1" x14ac:dyDescent="0.35">
      <c r="E333" s="19" t="s">
        <v>464</v>
      </c>
      <c r="F333" s="19" t="s">
        <v>993</v>
      </c>
      <c r="G333" s="19" t="s">
        <v>999</v>
      </c>
      <c r="H333" s="19"/>
      <c r="I333" s="302" t="s">
        <v>1009</v>
      </c>
      <c r="J333" s="302" t="s">
        <v>1010</v>
      </c>
    </row>
    <row r="334" spans="1:24" x14ac:dyDescent="0.35">
      <c r="D334" s="65" t="s">
        <v>6</v>
      </c>
      <c r="E334" s="261">
        <f>E317</f>
        <v>1295.7694587199999</v>
      </c>
      <c r="F334" s="262">
        <f>I317</f>
        <v>0</v>
      </c>
      <c r="G334" s="37">
        <f>F334/E334</f>
        <v>0</v>
      </c>
      <c r="H334" s="37"/>
      <c r="I334" s="262">
        <f>J317</f>
        <v>254.8247167328571</v>
      </c>
      <c r="J334" s="258">
        <f>I334/E334</f>
        <v>0.19665899286172453</v>
      </c>
    </row>
    <row r="335" spans="1:24" x14ac:dyDescent="0.35">
      <c r="D335" s="42" t="s">
        <v>115</v>
      </c>
      <c r="E335" s="261">
        <f>E319</f>
        <v>20636.190455</v>
      </c>
      <c r="F335" s="262">
        <f>I319</f>
        <v>1747.2930841999998</v>
      </c>
      <c r="G335" s="37">
        <f t="shared" ref="G335:G337" si="85">F335/E335</f>
        <v>8.4671300548917125E-2</v>
      </c>
      <c r="H335" s="37"/>
      <c r="I335" s="262">
        <f>J319</f>
        <v>7478.216246</v>
      </c>
      <c r="J335" s="258">
        <f t="shared" ref="J335:J337" si="86">I335/E335</f>
        <v>0.36238356407435085</v>
      </c>
    </row>
    <row r="336" spans="1:24" x14ac:dyDescent="0.35">
      <c r="D336" s="42" t="s">
        <v>110</v>
      </c>
      <c r="E336" s="261">
        <f>E324</f>
        <v>12813.1</v>
      </c>
      <c r="F336" s="262">
        <f>I324</f>
        <v>938.4</v>
      </c>
      <c r="G336" s="37">
        <f t="shared" si="85"/>
        <v>7.3237545949067742E-2</v>
      </c>
      <c r="H336" s="37"/>
      <c r="I336" s="262">
        <f>J324</f>
        <v>1852.1</v>
      </c>
      <c r="J336" s="258">
        <f t="shared" si="86"/>
        <v>0.14454737729355113</v>
      </c>
    </row>
    <row r="337" spans="4:10" x14ac:dyDescent="0.35">
      <c r="D337" s="6" t="s">
        <v>0</v>
      </c>
      <c r="E337" s="259">
        <f>E329</f>
        <v>34745.059913719997</v>
      </c>
      <c r="F337" s="259">
        <f>I329</f>
        <v>2685.6930841999997</v>
      </c>
      <c r="G337" s="260">
        <f t="shared" si="85"/>
        <v>7.7297120536536576E-2</v>
      </c>
      <c r="H337" s="260"/>
      <c r="I337" s="259">
        <f>J329</f>
        <v>9585.1409627328576</v>
      </c>
      <c r="J337" s="260">
        <f t="shared" si="86"/>
        <v>0.27587061258593237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F4ED-61ED-4D24-B29D-77F8C5925D73}">
  <sheetPr>
    <pageSetUpPr fitToPage="1"/>
  </sheetPr>
  <dimension ref="A2:X147"/>
  <sheetViews>
    <sheetView showGridLines="0" zoomScale="70" zoomScaleNormal="70" workbookViewId="0">
      <pane xSplit="2" ySplit="6" topLeftCell="C118" activePane="bottomRight" state="frozen"/>
      <selection pane="topRight" activeCell="C1" sqref="C1"/>
      <selection pane="bottomLeft" activeCell="A7" sqref="A7"/>
      <selection pane="bottomRight" activeCell="C143" sqref="C143"/>
    </sheetView>
  </sheetViews>
  <sheetFormatPr baseColWidth="10" defaultColWidth="11.5546875" defaultRowHeight="18" outlineLevelRow="1" x14ac:dyDescent="0.35"/>
  <cols>
    <col min="1" max="1" width="3.21875" style="1" customWidth="1"/>
    <col min="2" max="2" width="5.21875" style="1" customWidth="1"/>
    <col min="3" max="3" width="8.33203125" style="1" customWidth="1"/>
    <col min="4" max="4" width="82.33203125" style="1" customWidth="1"/>
    <col min="5" max="5" width="27.33203125" style="1" hidden="1" customWidth="1"/>
    <col min="6" max="6" width="18.44140625" style="1" customWidth="1"/>
    <col min="7" max="7" width="21.77734375" style="1" customWidth="1"/>
    <col min="8" max="9" width="13" style="36" customWidth="1"/>
    <col min="10" max="10" width="21" style="36" customWidth="1"/>
    <col min="11" max="11" width="15.44140625" style="36" customWidth="1"/>
    <col min="12" max="12" width="24.5546875" style="36" customWidth="1"/>
    <col min="13" max="13" width="15.6640625" style="36" bestFit="1" customWidth="1"/>
    <col min="14" max="14" width="21.21875" style="1" customWidth="1"/>
    <col min="15" max="15" width="21.109375" style="1" customWidth="1"/>
    <col min="16" max="16" width="20.88671875" style="1" customWidth="1"/>
    <col min="17" max="16384" width="11.5546875" style="1"/>
  </cols>
  <sheetData>
    <row r="2" spans="2:20" ht="21.75" x14ac:dyDescent="0.4">
      <c r="B2" s="27" t="s">
        <v>940</v>
      </c>
      <c r="C2" s="27"/>
      <c r="D2" s="26"/>
      <c r="E2" s="26"/>
      <c r="F2" s="26"/>
      <c r="G2" s="26"/>
      <c r="H2" s="57"/>
      <c r="I2" s="57"/>
      <c r="J2" s="57"/>
      <c r="K2" s="57"/>
      <c r="L2" s="57"/>
      <c r="M2" s="57"/>
      <c r="N2" s="26"/>
      <c r="O2" s="26"/>
      <c r="P2" s="26"/>
      <c r="Q2" s="26"/>
      <c r="R2" s="26"/>
      <c r="S2" s="26"/>
      <c r="T2" s="26"/>
    </row>
    <row r="4" spans="2:20" x14ac:dyDescent="0.35">
      <c r="B4" s="23">
        <v>1</v>
      </c>
      <c r="D4" s="22" t="s">
        <v>92</v>
      </c>
      <c r="E4" s="21"/>
      <c r="F4" s="21"/>
      <c r="G4" s="21"/>
      <c r="H4" s="52"/>
      <c r="I4" s="52"/>
      <c r="J4" s="52"/>
      <c r="K4" s="52"/>
      <c r="L4" s="52"/>
      <c r="M4" s="52"/>
      <c r="N4" s="21"/>
      <c r="O4" s="21"/>
      <c r="P4" s="21"/>
      <c r="Q4" s="21"/>
      <c r="R4" s="21"/>
      <c r="S4" s="21"/>
      <c r="T4" s="21"/>
    </row>
    <row r="5" spans="2:20" x14ac:dyDescent="0.35">
      <c r="F5" s="236" t="s">
        <v>939</v>
      </c>
      <c r="G5" s="236" t="s">
        <v>938</v>
      </c>
      <c r="I5" s="389">
        <f>COUNT(I7:I117)</f>
        <v>95</v>
      </c>
    </row>
    <row r="6" spans="2:20" s="39" customFormat="1" ht="31.5" x14ac:dyDescent="0.35">
      <c r="D6" s="277" t="s">
        <v>91</v>
      </c>
      <c r="E6" s="277" t="s">
        <v>90</v>
      </c>
      <c r="F6" s="254" t="s">
        <v>87</v>
      </c>
      <c r="G6" s="254" t="s">
        <v>87</v>
      </c>
      <c r="H6" s="254" t="s">
        <v>994</v>
      </c>
      <c r="I6" s="389">
        <f>SUM(I7:I117)</f>
        <v>39</v>
      </c>
      <c r="J6" s="254" t="s">
        <v>1011</v>
      </c>
      <c r="K6" s="253" t="s">
        <v>937</v>
      </c>
      <c r="L6" s="442" t="s">
        <v>1012</v>
      </c>
      <c r="M6" s="443" t="s">
        <v>936</v>
      </c>
    </row>
    <row r="7" spans="2:20" x14ac:dyDescent="0.35">
      <c r="D7" s="73" t="s">
        <v>458</v>
      </c>
      <c r="E7" s="73" t="s">
        <v>4</v>
      </c>
      <c r="F7" s="83">
        <f>F8+F12+F15+F18+F22+F29</f>
        <v>4888154925</v>
      </c>
      <c r="G7" s="83">
        <f>G8+G12+G15+G18+G22+G29</f>
        <v>4629940088</v>
      </c>
      <c r="H7" s="84"/>
      <c r="I7" s="84"/>
      <c r="J7" s="83">
        <f>SUM(J8:J30)</f>
        <v>0</v>
      </c>
      <c r="K7" s="235">
        <f>K12</f>
        <v>795000000</v>
      </c>
      <c r="L7" s="83">
        <f>SUM(L8:L30)</f>
        <v>0</v>
      </c>
      <c r="M7" s="235">
        <f>SUM(M8:M30)</f>
        <v>1230000000</v>
      </c>
      <c r="N7" s="83"/>
      <c r="O7" s="83"/>
    </row>
    <row r="8" spans="2:20" x14ac:dyDescent="0.35">
      <c r="D8" s="141" t="s">
        <v>935</v>
      </c>
      <c r="E8" s="11" t="s">
        <v>4</v>
      </c>
      <c r="F8" s="219">
        <v>192674229</v>
      </c>
      <c r="G8" s="113">
        <f>SUM(G9:G11)</f>
        <v>181122012</v>
      </c>
      <c r="H8" s="119"/>
      <c r="I8" s="379"/>
      <c r="J8" s="221">
        <f>IF(ISNUMBER(H8*F8),H8*F8,"0")</f>
        <v>0</v>
      </c>
      <c r="K8" s="220">
        <f>IF(H8="mix",F8,0)</f>
        <v>0</v>
      </c>
      <c r="L8" s="221">
        <f>SUM(L9:L11)</f>
        <v>0</v>
      </c>
      <c r="M8" s="221">
        <f>SUM(M9:M11)</f>
        <v>0</v>
      </c>
    </row>
    <row r="9" spans="2:20" x14ac:dyDescent="0.35">
      <c r="D9" s="138" t="s">
        <v>934</v>
      </c>
      <c r="E9" s="42" t="s">
        <v>4</v>
      </c>
      <c r="F9" s="205"/>
      <c r="G9" s="44">
        <v>3200000</v>
      </c>
      <c r="H9" s="119">
        <v>0</v>
      </c>
      <c r="I9" s="379">
        <f t="shared" ref="I9:I39" si="0">+IF(H9&lt;&gt;0, 1,0)</f>
        <v>0</v>
      </c>
      <c r="J9" s="217">
        <f>IF(ISNUMBER(H9*F9),H9*F9,"0")</f>
        <v>0</v>
      </c>
      <c r="K9" s="222">
        <f>IF(H9="mix",F9,0)</f>
        <v>0</v>
      </c>
      <c r="L9" s="217">
        <f>IF(ISNUMBER(G9*H9),G9*H9,"0")</f>
        <v>0</v>
      </c>
      <c r="M9" s="222">
        <f>IF(H9="mix",G9,0)</f>
        <v>0</v>
      </c>
    </row>
    <row r="10" spans="2:20" x14ac:dyDescent="0.35">
      <c r="D10" s="138" t="s">
        <v>933</v>
      </c>
      <c r="E10" s="42" t="s">
        <v>4</v>
      </c>
      <c r="F10" s="205"/>
      <c r="G10" s="44">
        <f>125400000+5500000+3600000+2700000+15000000</f>
        <v>152200000</v>
      </c>
      <c r="H10" s="237">
        <v>0</v>
      </c>
      <c r="I10" s="380">
        <f t="shared" si="0"/>
        <v>0</v>
      </c>
      <c r="J10" s="217">
        <f>IF(ISNUMBER(H10*F10),H10*F10,"0")</f>
        <v>0</v>
      </c>
      <c r="K10" s="222">
        <f>IF(H10="mix",F10,0)</f>
        <v>0</v>
      </c>
      <c r="L10" s="217">
        <f>IF(ISNUMBER(G10*H10),G10*H10,"0")</f>
        <v>0</v>
      </c>
      <c r="M10" s="222">
        <f>IF(H10="mix",G10,0)</f>
        <v>0</v>
      </c>
    </row>
    <row r="11" spans="2:20" x14ac:dyDescent="0.35">
      <c r="D11" s="138" t="s">
        <v>932</v>
      </c>
      <c r="E11" s="42" t="s">
        <v>4</v>
      </c>
      <c r="F11" s="205"/>
      <c r="G11" s="44">
        <v>25722012</v>
      </c>
      <c r="H11" s="237">
        <v>0</v>
      </c>
      <c r="I11" s="380">
        <f t="shared" si="0"/>
        <v>0</v>
      </c>
      <c r="J11" s="217">
        <f>IF(ISNUMBER(H11*F11),H11*F11,"0")</f>
        <v>0</v>
      </c>
      <c r="K11" s="222">
        <f>IF(H11="mix",F11,0)</f>
        <v>0</v>
      </c>
      <c r="L11" s="217">
        <f>IF(ISNUMBER(G11*H11),G11*H11,"0")</f>
        <v>0</v>
      </c>
      <c r="M11" s="222">
        <f>IF(H11="mix",G11,0)</f>
        <v>0</v>
      </c>
    </row>
    <row r="12" spans="2:20" x14ac:dyDescent="0.35">
      <c r="D12" s="141" t="s">
        <v>931</v>
      </c>
      <c r="E12" s="11" t="s">
        <v>4</v>
      </c>
      <c r="F12" s="219">
        <f t="shared" ref="F12:G12" si="1">F13+F14</f>
        <v>2860230932</v>
      </c>
      <c r="G12" s="113">
        <f t="shared" si="1"/>
        <v>3136925597</v>
      </c>
      <c r="H12" s="237"/>
      <c r="I12" s="380"/>
      <c r="J12" s="221">
        <f>SUM(J13:J14)</f>
        <v>0</v>
      </c>
      <c r="K12" s="221">
        <f>SUM(K13:K14)</f>
        <v>795000000</v>
      </c>
      <c r="L12" s="221">
        <f>SUM(L13:L14)</f>
        <v>0</v>
      </c>
      <c r="M12" s="221">
        <f>SUM(M13:M14)</f>
        <v>615000000</v>
      </c>
    </row>
    <row r="13" spans="2:20" x14ac:dyDescent="0.35">
      <c r="D13" s="138" t="s">
        <v>930</v>
      </c>
      <c r="E13" s="42" t="s">
        <v>4</v>
      </c>
      <c r="F13" s="205">
        <v>2065230932</v>
      </c>
      <c r="G13" s="44">
        <v>2521925597</v>
      </c>
      <c r="H13" s="237">
        <v>0</v>
      </c>
      <c r="I13" s="380">
        <f t="shared" si="0"/>
        <v>0</v>
      </c>
      <c r="J13" s="217">
        <f>IF(ISNUMBER(H13*F13),H13*F13,"0")</f>
        <v>0</v>
      </c>
      <c r="K13" s="222">
        <f>IF(H13="mix",F13,0)</f>
        <v>0</v>
      </c>
      <c r="L13" s="217">
        <f>IF(ISNUMBER(G13*H13),G13*H13,"0")</f>
        <v>0</v>
      </c>
      <c r="M13" s="222">
        <f>IF(H13="mix",G13,0)</f>
        <v>0</v>
      </c>
    </row>
    <row r="14" spans="2:20" x14ac:dyDescent="0.35">
      <c r="D14" s="138" t="s">
        <v>929</v>
      </c>
      <c r="E14" s="42" t="s">
        <v>4</v>
      </c>
      <c r="F14" s="205">
        <v>795000000</v>
      </c>
      <c r="G14" s="44">
        <v>615000000</v>
      </c>
      <c r="H14" s="237" t="s">
        <v>27</v>
      </c>
      <c r="I14" s="380">
        <f t="shared" si="0"/>
        <v>1</v>
      </c>
      <c r="J14" s="217" t="str">
        <f>IF(ISNUMBER(H14*F14),H14*F14,"0")</f>
        <v>0</v>
      </c>
      <c r="K14" s="234">
        <f>IF(H14="mix",F14,0)</f>
        <v>795000000</v>
      </c>
      <c r="L14" s="217" t="str">
        <f>IF(ISNUMBER(G14*H14),G14*H14,"0")</f>
        <v>0</v>
      </c>
      <c r="M14" s="234">
        <f>IF(H14="mix",G14,0)</f>
        <v>615000000</v>
      </c>
    </row>
    <row r="15" spans="2:20" x14ac:dyDescent="0.35">
      <c r="D15" s="141" t="s">
        <v>928</v>
      </c>
      <c r="E15" s="42" t="s">
        <v>4</v>
      </c>
      <c r="F15" s="219">
        <v>1499999999</v>
      </c>
      <c r="G15" s="113">
        <v>970489992</v>
      </c>
      <c r="H15" s="119"/>
      <c r="I15" s="379"/>
      <c r="J15" s="221">
        <f>IF(ISNUMBER(H15*F15),H15*F15,"0")</f>
        <v>0</v>
      </c>
      <c r="K15" s="220">
        <f>IF(H15="mix",F15,0)</f>
        <v>0</v>
      </c>
      <c r="L15" s="221">
        <f>IF(ISNUMBER(G15*H15),G15*H15,"0")</f>
        <v>0</v>
      </c>
      <c r="M15" s="220">
        <f>IF(H15="mix",G15,0)</f>
        <v>0</v>
      </c>
    </row>
    <row r="16" spans="2:20" x14ac:dyDescent="0.35">
      <c r="D16" s="138" t="s">
        <v>927</v>
      </c>
      <c r="E16" s="42" t="s">
        <v>4</v>
      </c>
      <c r="F16" s="205"/>
      <c r="G16" s="44"/>
      <c r="H16" s="119">
        <v>0</v>
      </c>
      <c r="I16" s="379">
        <f t="shared" si="0"/>
        <v>0</v>
      </c>
      <c r="J16" s="217"/>
      <c r="K16" s="222"/>
      <c r="L16" s="217"/>
      <c r="M16" s="222"/>
    </row>
    <row r="17" spans="1:13" x14ac:dyDescent="0.35">
      <c r="D17" s="138" t="s">
        <v>926</v>
      </c>
      <c r="E17" s="42" t="s">
        <v>4</v>
      </c>
      <c r="F17" s="205"/>
      <c r="G17" s="44"/>
      <c r="H17" s="119">
        <v>0</v>
      </c>
      <c r="I17" s="379">
        <f t="shared" si="0"/>
        <v>0</v>
      </c>
      <c r="J17" s="217"/>
      <c r="K17" s="222"/>
      <c r="L17" s="217"/>
      <c r="M17" s="222"/>
    </row>
    <row r="18" spans="1:13" x14ac:dyDescent="0.35">
      <c r="D18" s="141" t="s">
        <v>925</v>
      </c>
      <c r="E18" s="42" t="s">
        <v>4</v>
      </c>
      <c r="F18" s="219">
        <v>270189000</v>
      </c>
      <c r="G18" s="113">
        <f>SUM(G19:G21)</f>
        <v>256698000</v>
      </c>
      <c r="H18" s="119"/>
      <c r="I18" s="379"/>
      <c r="J18" s="221">
        <f t="shared" ref="J18:J28" si="2">IF(ISNUMBER(H18*F18),H18*F18,"0")</f>
        <v>0</v>
      </c>
      <c r="K18" s="220">
        <f t="shared" ref="K18:K28" si="3">IF(H18="mix",F18,0)</f>
        <v>0</v>
      </c>
      <c r="L18" s="221">
        <f>SUM(L19:L21)</f>
        <v>0</v>
      </c>
      <c r="M18" s="221">
        <f>SUM(M19:M21)</f>
        <v>0</v>
      </c>
    </row>
    <row r="19" spans="1:13" x14ac:dyDescent="0.35">
      <c r="D19" s="138" t="s">
        <v>924</v>
      </c>
      <c r="E19" s="42" t="s">
        <v>4</v>
      </c>
      <c r="F19" s="205"/>
      <c r="G19" s="44">
        <v>206000000</v>
      </c>
      <c r="H19" s="119">
        <v>0</v>
      </c>
      <c r="I19" s="379">
        <f t="shared" si="0"/>
        <v>0</v>
      </c>
      <c r="J19" s="217">
        <f t="shared" si="2"/>
        <v>0</v>
      </c>
      <c r="K19" s="222">
        <f t="shared" si="3"/>
        <v>0</v>
      </c>
      <c r="L19" s="217">
        <f>IF(ISNUMBER(G19*H19),G19*H19,"0")</f>
        <v>0</v>
      </c>
      <c r="M19" s="222">
        <f>IF(H19="mix",G19,0)</f>
        <v>0</v>
      </c>
    </row>
    <row r="20" spans="1:13" x14ac:dyDescent="0.35">
      <c r="D20" s="138" t="s">
        <v>923</v>
      </c>
      <c r="E20" s="42" t="s">
        <v>4</v>
      </c>
      <c r="F20" s="205"/>
      <c r="G20" s="44">
        <v>47698000</v>
      </c>
      <c r="H20" s="119">
        <v>0</v>
      </c>
      <c r="I20" s="379">
        <f t="shared" si="0"/>
        <v>0</v>
      </c>
      <c r="J20" s="217">
        <f t="shared" si="2"/>
        <v>0</v>
      </c>
      <c r="K20" s="222">
        <f t="shared" si="3"/>
        <v>0</v>
      </c>
      <c r="L20" s="217">
        <f>IF(ISNUMBER(G20*H20),G20*H20,"0")</f>
        <v>0</v>
      </c>
      <c r="M20" s="222">
        <f>IF(H20="mix",G20,0)</f>
        <v>0</v>
      </c>
    </row>
    <row r="21" spans="1:13" x14ac:dyDescent="0.35">
      <c r="D21" s="138" t="s">
        <v>922</v>
      </c>
      <c r="E21" s="42" t="s">
        <v>4</v>
      </c>
      <c r="F21" s="205"/>
      <c r="G21" s="44">
        <v>3000000</v>
      </c>
      <c r="H21" s="119">
        <v>0</v>
      </c>
      <c r="I21" s="379">
        <f t="shared" si="0"/>
        <v>0</v>
      </c>
      <c r="J21" s="217">
        <f t="shared" si="2"/>
        <v>0</v>
      </c>
      <c r="K21" s="222">
        <f t="shared" si="3"/>
        <v>0</v>
      </c>
      <c r="L21" s="217">
        <f>IF(ISNUMBER(G21*H21),G21*H21,"0")</f>
        <v>0</v>
      </c>
      <c r="M21" s="222">
        <f>IF(H21="mix",G21,0)</f>
        <v>0</v>
      </c>
    </row>
    <row r="22" spans="1:13" x14ac:dyDescent="0.35">
      <c r="D22" s="141" t="s">
        <v>921</v>
      </c>
      <c r="E22" s="42" t="s">
        <v>4</v>
      </c>
      <c r="F22" s="219">
        <v>63710000</v>
      </c>
      <c r="G22" s="113">
        <f>SUM(G23:G28)</f>
        <v>78504485</v>
      </c>
      <c r="H22" s="119"/>
      <c r="I22" s="379"/>
      <c r="J22" s="221">
        <f t="shared" si="2"/>
        <v>0</v>
      </c>
      <c r="K22" s="220">
        <f t="shared" si="3"/>
        <v>0</v>
      </c>
      <c r="L22" s="221">
        <f>SUM(L23:L28)</f>
        <v>0</v>
      </c>
      <c r="M22" s="221">
        <f>SUM(M23:M28)</f>
        <v>0</v>
      </c>
    </row>
    <row r="23" spans="1:13" x14ac:dyDescent="0.35">
      <c r="D23" s="138" t="s">
        <v>920</v>
      </c>
      <c r="E23" s="42" t="s">
        <v>4</v>
      </c>
      <c r="F23" s="205"/>
      <c r="G23" s="44">
        <f>4000000+500000+8000000</f>
        <v>12500000</v>
      </c>
      <c r="H23" s="119">
        <v>0</v>
      </c>
      <c r="I23" s="379">
        <f t="shared" si="0"/>
        <v>0</v>
      </c>
      <c r="J23" s="217">
        <f t="shared" si="2"/>
        <v>0</v>
      </c>
      <c r="K23" s="222">
        <f t="shared" si="3"/>
        <v>0</v>
      </c>
      <c r="L23" s="217">
        <f t="shared" ref="L23:L28" si="4">IF(ISNUMBER(G23*H23),G23*H23,"0")</f>
        <v>0</v>
      </c>
      <c r="M23" s="222">
        <f t="shared" ref="M23:M28" si="5">IF(H23="mix",G23,0)</f>
        <v>0</v>
      </c>
    </row>
    <row r="24" spans="1:13" x14ac:dyDescent="0.35">
      <c r="D24" s="138" t="s">
        <v>919</v>
      </c>
      <c r="E24" s="42" t="s">
        <v>4</v>
      </c>
      <c r="F24" s="205"/>
      <c r="G24" s="44">
        <f>9700000+2300000+8000000+34700000</f>
        <v>54700000</v>
      </c>
      <c r="H24" s="119">
        <v>0</v>
      </c>
      <c r="I24" s="379">
        <f t="shared" si="0"/>
        <v>0</v>
      </c>
      <c r="J24" s="217">
        <f t="shared" si="2"/>
        <v>0</v>
      </c>
      <c r="K24" s="222">
        <f t="shared" si="3"/>
        <v>0</v>
      </c>
      <c r="L24" s="217">
        <f t="shared" si="4"/>
        <v>0</v>
      </c>
      <c r="M24" s="222">
        <f t="shared" si="5"/>
        <v>0</v>
      </c>
    </row>
    <row r="25" spans="1:13" x14ac:dyDescent="0.35">
      <c r="D25" s="138" t="s">
        <v>918</v>
      </c>
      <c r="E25" s="42" t="s">
        <v>4</v>
      </c>
      <c r="F25" s="205"/>
      <c r="G25" s="44">
        <v>1900000</v>
      </c>
      <c r="H25" s="119">
        <v>0</v>
      </c>
      <c r="I25" s="379">
        <f t="shared" si="0"/>
        <v>0</v>
      </c>
      <c r="J25" s="217">
        <f t="shared" si="2"/>
        <v>0</v>
      </c>
      <c r="K25" s="222">
        <f t="shared" si="3"/>
        <v>0</v>
      </c>
      <c r="L25" s="217">
        <f t="shared" si="4"/>
        <v>0</v>
      </c>
      <c r="M25" s="222">
        <f t="shared" si="5"/>
        <v>0</v>
      </c>
    </row>
    <row r="26" spans="1:13" x14ac:dyDescent="0.35">
      <c r="D26" s="138" t="s">
        <v>917</v>
      </c>
      <c r="E26" s="42" t="s">
        <v>4</v>
      </c>
      <c r="F26" s="205"/>
      <c r="G26" s="44">
        <f>2800000+280000</f>
        <v>3080000</v>
      </c>
      <c r="H26" s="119">
        <v>0</v>
      </c>
      <c r="I26" s="379">
        <f t="shared" si="0"/>
        <v>0</v>
      </c>
      <c r="J26" s="217">
        <f t="shared" si="2"/>
        <v>0</v>
      </c>
      <c r="K26" s="222">
        <f t="shared" si="3"/>
        <v>0</v>
      </c>
      <c r="L26" s="217">
        <f t="shared" si="4"/>
        <v>0</v>
      </c>
      <c r="M26" s="222">
        <f t="shared" si="5"/>
        <v>0</v>
      </c>
    </row>
    <row r="27" spans="1:13" x14ac:dyDescent="0.35">
      <c r="D27" s="138" t="s">
        <v>916</v>
      </c>
      <c r="E27" s="42" t="s">
        <v>4</v>
      </c>
      <c r="F27" s="205"/>
      <c r="G27" s="44">
        <f>5000000</f>
        <v>5000000</v>
      </c>
      <c r="H27" s="119">
        <v>0</v>
      </c>
      <c r="I27" s="379">
        <f t="shared" si="0"/>
        <v>0</v>
      </c>
      <c r="J27" s="217">
        <f t="shared" si="2"/>
        <v>0</v>
      </c>
      <c r="K27" s="222">
        <f t="shared" si="3"/>
        <v>0</v>
      </c>
      <c r="L27" s="217">
        <f t="shared" si="4"/>
        <v>0</v>
      </c>
      <c r="M27" s="222">
        <f t="shared" si="5"/>
        <v>0</v>
      </c>
    </row>
    <row r="28" spans="1:13" x14ac:dyDescent="0.35">
      <c r="D28" s="138" t="s">
        <v>915</v>
      </c>
      <c r="E28" s="42" t="s">
        <v>4</v>
      </c>
      <c r="F28" s="205"/>
      <c r="G28" s="44">
        <v>1324485</v>
      </c>
      <c r="H28" s="119">
        <v>0</v>
      </c>
      <c r="I28" s="379">
        <f t="shared" si="0"/>
        <v>0</v>
      </c>
      <c r="J28" s="217">
        <f t="shared" si="2"/>
        <v>0</v>
      </c>
      <c r="K28" s="222">
        <f t="shared" si="3"/>
        <v>0</v>
      </c>
      <c r="L28" s="217">
        <f t="shared" si="4"/>
        <v>0</v>
      </c>
      <c r="M28" s="222">
        <f t="shared" si="5"/>
        <v>0</v>
      </c>
    </row>
    <row r="29" spans="1:13" x14ac:dyDescent="0.35">
      <c r="D29" s="141" t="s">
        <v>914</v>
      </c>
      <c r="E29" s="42" t="s">
        <v>4</v>
      </c>
      <c r="F29" s="219">
        <v>1350765</v>
      </c>
      <c r="G29" s="113">
        <f>+G30</f>
        <v>6200002</v>
      </c>
      <c r="H29" s="119"/>
      <c r="I29" s="379">
        <f t="shared" si="0"/>
        <v>0</v>
      </c>
      <c r="J29" s="217">
        <f>J30</f>
        <v>0</v>
      </c>
      <c r="K29" s="217">
        <f>K30</f>
        <v>0</v>
      </c>
      <c r="L29" s="217">
        <f>L30</f>
        <v>0</v>
      </c>
      <c r="M29" s="217">
        <f>M30</f>
        <v>0</v>
      </c>
    </row>
    <row r="30" spans="1:13" x14ac:dyDescent="0.35">
      <c r="D30" s="138" t="s">
        <v>913</v>
      </c>
      <c r="E30" s="42"/>
      <c r="F30" s="205">
        <v>1350765</v>
      </c>
      <c r="G30" s="44">
        <v>6200002</v>
      </c>
      <c r="H30" s="119">
        <v>0</v>
      </c>
      <c r="I30" s="379">
        <f t="shared" si="0"/>
        <v>0</v>
      </c>
      <c r="J30" s="217">
        <f>IF(ISNUMBER(H30*F30),H30*F30,"0")</f>
        <v>0</v>
      </c>
      <c r="K30" s="222">
        <f>IF(H30="mix",F30,0)</f>
        <v>0</v>
      </c>
      <c r="L30" s="217">
        <f>IF(ISNUMBER(G30*H30),G30*H30,"0")</f>
        <v>0</v>
      </c>
      <c r="M30" s="222">
        <f>IF(H30="mix",G30,0)</f>
        <v>0</v>
      </c>
    </row>
    <row r="31" spans="1:13" s="142" customFormat="1" x14ac:dyDescent="0.35">
      <c r="A31" s="1"/>
      <c r="B31" s="1"/>
      <c r="C31" s="1"/>
      <c r="D31" s="233" t="s">
        <v>912</v>
      </c>
      <c r="E31" s="232"/>
      <c r="F31" s="231">
        <v>879000000</v>
      </c>
      <c r="G31" s="110">
        <v>908150000</v>
      </c>
      <c r="H31" s="230"/>
      <c r="I31" s="381"/>
      <c r="J31" s="203">
        <f>SUM(J32:J33)</f>
        <v>0</v>
      </c>
      <c r="K31" s="203">
        <f>SUM(K32:K33)</f>
        <v>820000000</v>
      </c>
      <c r="L31" s="203">
        <f>SUM(L32:L33)</f>
        <v>0</v>
      </c>
      <c r="M31" s="203">
        <f>SUM(M32:M33)</f>
        <v>0</v>
      </c>
    </row>
    <row r="32" spans="1:13" s="225" customFormat="1" x14ac:dyDescent="0.35">
      <c r="D32" s="229" t="s">
        <v>911</v>
      </c>
      <c r="E32" s="228"/>
      <c r="F32" s="238">
        <v>820000000</v>
      </c>
      <c r="G32" s="239"/>
      <c r="H32" s="240" t="s">
        <v>27</v>
      </c>
      <c r="I32" s="382">
        <f t="shared" si="0"/>
        <v>1</v>
      </c>
      <c r="J32" s="227" t="str">
        <f>IF(ISNUMBER(H32*F32),H32*F32,"0")</f>
        <v>0</v>
      </c>
      <c r="K32" s="226">
        <f>IF(H32="mix",F32,0)</f>
        <v>820000000</v>
      </c>
      <c r="L32" s="217" t="str">
        <f>IF(ISNUMBER(G32*H32),G32*H32,"0")</f>
        <v>0</v>
      </c>
      <c r="M32" s="222">
        <f>IF(H32="mix",G32,0)</f>
        <v>0</v>
      </c>
    </row>
    <row r="33" spans="4:13" s="225" customFormat="1" x14ac:dyDescent="0.35">
      <c r="D33" s="229" t="s">
        <v>910</v>
      </c>
      <c r="E33" s="228"/>
      <c r="F33" s="238">
        <v>59000000</v>
      </c>
      <c r="G33" s="239"/>
      <c r="H33" s="240">
        <v>0</v>
      </c>
      <c r="I33" s="382">
        <f t="shared" si="0"/>
        <v>0</v>
      </c>
      <c r="J33" s="227">
        <f>IF(ISNUMBER(H33*F33),H33*F33,"0")</f>
        <v>0</v>
      </c>
      <c r="K33" s="226">
        <f>IF(H33="mix",F33,0)</f>
        <v>0</v>
      </c>
      <c r="L33" s="217">
        <f>IF(ISNUMBER(G33*H33),G33*H33,"0")</f>
        <v>0</v>
      </c>
      <c r="M33" s="222">
        <f>IF(H33="mix",G33,0)</f>
        <v>0</v>
      </c>
    </row>
    <row r="34" spans="4:13" x14ac:dyDescent="0.35">
      <c r="D34" s="144" t="s">
        <v>946</v>
      </c>
      <c r="E34" s="144" t="s">
        <v>4</v>
      </c>
      <c r="F34" s="252">
        <f>F35+F36</f>
        <v>365194224</v>
      </c>
      <c r="G34" s="224">
        <f>G35+G36</f>
        <v>365194224</v>
      </c>
      <c r="H34" s="223"/>
      <c r="I34" s="383"/>
      <c r="J34" s="203">
        <f>SUM(J35:J36)</f>
        <v>0</v>
      </c>
      <c r="K34" s="203">
        <f>SUM(K35:K36)</f>
        <v>0</v>
      </c>
      <c r="L34" s="203">
        <f>SUM(L35:L36)</f>
        <v>0</v>
      </c>
      <c r="M34" s="203">
        <f>SUM(M35:M36)</f>
        <v>0</v>
      </c>
    </row>
    <row r="35" spans="4:13" x14ac:dyDescent="0.35">
      <c r="D35" s="141" t="s">
        <v>909</v>
      </c>
      <c r="E35" s="42" t="s">
        <v>4</v>
      </c>
      <c r="F35" s="205">
        <v>226472116</v>
      </c>
      <c r="G35" s="79">
        <v>226472116</v>
      </c>
      <c r="H35" s="119">
        <v>0</v>
      </c>
      <c r="I35" s="379">
        <f t="shared" si="0"/>
        <v>0</v>
      </c>
      <c r="J35" s="217">
        <f>IF(ISNUMBER(H35*F35),H35*F35,"0")</f>
        <v>0</v>
      </c>
      <c r="K35" s="222">
        <f>IF(H35="mix",F35,0)</f>
        <v>0</v>
      </c>
      <c r="L35" s="217">
        <f>IF(ISNUMBER(G35*H35),G35*H35,"0")</f>
        <v>0</v>
      </c>
      <c r="M35" s="222">
        <f>IF(H35="mix",G35,0)</f>
        <v>0</v>
      </c>
    </row>
    <row r="36" spans="4:13" x14ac:dyDescent="0.35">
      <c r="D36" s="141" t="s">
        <v>908</v>
      </c>
      <c r="E36" s="42" t="s">
        <v>4</v>
      </c>
      <c r="F36" s="205">
        <v>138722108</v>
      </c>
      <c r="G36" s="79">
        <v>138722108</v>
      </c>
      <c r="H36" s="119">
        <v>0</v>
      </c>
      <c r="I36" s="379">
        <f t="shared" si="0"/>
        <v>0</v>
      </c>
      <c r="J36" s="217">
        <f>IF(ISNUMBER(H36*F36),H36*F36,"0")</f>
        <v>0</v>
      </c>
      <c r="K36" s="222">
        <f>IF(H36="mix",F36,0)</f>
        <v>0</v>
      </c>
      <c r="L36" s="217">
        <f>IF(ISNUMBER(G36*H36),G36*H36,"0")</f>
        <v>0</v>
      </c>
      <c r="M36" s="222">
        <f>IF(H36="mix",G36,0)</f>
        <v>0</v>
      </c>
    </row>
    <row r="37" spans="4:13" x14ac:dyDescent="0.35">
      <c r="D37" s="73" t="s">
        <v>823</v>
      </c>
      <c r="E37" s="73" t="s">
        <v>4</v>
      </c>
      <c r="F37" s="83">
        <f>+F38+F48+F49+F63+F64+F69+F72+F62+F68</f>
        <v>5500000000</v>
      </c>
      <c r="G37" s="83">
        <f>+G38+G48+G49+G63+G64+G69+G72+G62</f>
        <v>6663500000</v>
      </c>
      <c r="H37" s="143"/>
      <c r="I37" s="384"/>
      <c r="J37" s="203">
        <f>J38+J48+J49+J62+J63+J64+J69+J72</f>
        <v>1582763808</v>
      </c>
      <c r="K37" s="203">
        <f>K38+K48+K49+K62+K63+K64+K69+K72</f>
        <v>2729768248</v>
      </c>
      <c r="L37" s="203">
        <f>L38+L48+L49+L62+L63+L64+L69+L72</f>
        <v>1890929451.7650454</v>
      </c>
      <c r="M37" s="203">
        <f>M38+M48+M49+M62+M63+M64+M69+M72</f>
        <v>1738413508.4792242</v>
      </c>
    </row>
    <row r="38" spans="4:13" x14ac:dyDescent="0.35">
      <c r="D38" s="141" t="s">
        <v>907</v>
      </c>
      <c r="E38" s="42" t="s">
        <v>4</v>
      </c>
      <c r="F38" s="205"/>
      <c r="G38" s="218">
        <f>SUM(G39:G47)</f>
        <v>4235590756</v>
      </c>
      <c r="H38" s="119"/>
      <c r="I38" s="379"/>
      <c r="J38" s="221">
        <f>SUM(J39:J47)</f>
        <v>0</v>
      </c>
      <c r="K38" s="221">
        <f>SUM(K39:K47)</f>
        <v>0</v>
      </c>
      <c r="L38" s="221">
        <f>SUM(L39:L47)</f>
        <v>1153565619.7650454</v>
      </c>
      <c r="M38" s="221">
        <f>SUM(M39:M47)</f>
        <v>334630361.47922432</v>
      </c>
    </row>
    <row r="39" spans="4:13" x14ac:dyDescent="0.35">
      <c r="D39" s="138" t="s">
        <v>906</v>
      </c>
      <c r="E39" s="42" t="s">
        <v>4</v>
      </c>
      <c r="F39" s="205"/>
      <c r="G39" s="44">
        <v>226973498</v>
      </c>
      <c r="H39" s="237">
        <v>1</v>
      </c>
      <c r="I39" s="380">
        <f t="shared" si="0"/>
        <v>1</v>
      </c>
      <c r="J39" s="217">
        <f t="shared" ref="J39:J48" si="6">IF(ISNUMBER(H39*F39),H39*F39,"0")</f>
        <v>0</v>
      </c>
      <c r="K39" s="222">
        <f t="shared" ref="K39:K48" si="7">IF(H39="mix",F39,0)</f>
        <v>0</v>
      </c>
      <c r="L39" s="217">
        <f t="shared" ref="L39:L48" si="8">IF(ISNUMBER(G39*H39),G39*H39,"0")</f>
        <v>226973498</v>
      </c>
      <c r="M39" s="222">
        <f t="shared" ref="M39:M48" si="9">IF(H39="mix",G39,0)</f>
        <v>0</v>
      </c>
    </row>
    <row r="40" spans="4:13" x14ac:dyDescent="0.35">
      <c r="D40" s="138" t="s">
        <v>905</v>
      </c>
      <c r="E40" s="42" t="s">
        <v>4</v>
      </c>
      <c r="F40" s="205"/>
      <c r="G40" s="44">
        <v>592192487</v>
      </c>
      <c r="H40" s="237">
        <v>1</v>
      </c>
      <c r="I40" s="380">
        <f t="shared" ref="I40:I71" si="10">+IF(H40&lt;&gt;0, 1,0)</f>
        <v>1</v>
      </c>
      <c r="J40" s="217">
        <f t="shared" si="6"/>
        <v>0</v>
      </c>
      <c r="K40" s="222">
        <f t="shared" si="7"/>
        <v>0</v>
      </c>
      <c r="L40" s="217">
        <f t="shared" si="8"/>
        <v>592192487</v>
      </c>
      <c r="M40" s="222">
        <f t="shared" si="9"/>
        <v>0</v>
      </c>
    </row>
    <row r="41" spans="4:13" x14ac:dyDescent="0.35">
      <c r="D41" s="138" t="s">
        <v>904</v>
      </c>
      <c r="E41" s="42" t="s">
        <v>4</v>
      </c>
      <c r="F41" s="205"/>
      <c r="G41" s="44">
        <v>72130276.215479374</v>
      </c>
      <c r="H41" s="237">
        <v>1</v>
      </c>
      <c r="I41" s="380">
        <f t="shared" si="10"/>
        <v>1</v>
      </c>
      <c r="J41" s="217">
        <f t="shared" si="6"/>
        <v>0</v>
      </c>
      <c r="K41" s="222">
        <f t="shared" si="7"/>
        <v>0</v>
      </c>
      <c r="L41" s="217">
        <f t="shared" si="8"/>
        <v>72130276.215479374</v>
      </c>
      <c r="M41" s="222">
        <f t="shared" si="9"/>
        <v>0</v>
      </c>
    </row>
    <row r="42" spans="4:13" x14ac:dyDescent="0.35">
      <c r="D42" s="138" t="s">
        <v>903</v>
      </c>
      <c r="E42" s="42" t="s">
        <v>4</v>
      </c>
      <c r="F42" s="205"/>
      <c r="G42" s="44">
        <v>2731547083.7845206</v>
      </c>
      <c r="H42" s="237">
        <v>0</v>
      </c>
      <c r="I42" s="380">
        <f t="shared" si="10"/>
        <v>0</v>
      </c>
      <c r="J42" s="217">
        <f t="shared" si="6"/>
        <v>0</v>
      </c>
      <c r="K42" s="222">
        <f t="shared" si="7"/>
        <v>0</v>
      </c>
      <c r="L42" s="217">
        <f t="shared" si="8"/>
        <v>0</v>
      </c>
      <c r="M42" s="222">
        <f t="shared" si="9"/>
        <v>0</v>
      </c>
    </row>
    <row r="43" spans="4:13" x14ac:dyDescent="0.35">
      <c r="D43" s="138" t="s">
        <v>902</v>
      </c>
      <c r="E43" s="42" t="s">
        <v>4</v>
      </c>
      <c r="F43" s="205"/>
      <c r="G43" s="44">
        <v>307160966.45043391</v>
      </c>
      <c r="H43" s="237" t="s">
        <v>27</v>
      </c>
      <c r="I43" s="380">
        <f t="shared" si="10"/>
        <v>1</v>
      </c>
      <c r="J43" s="217" t="str">
        <f t="shared" si="6"/>
        <v>0</v>
      </c>
      <c r="K43" s="222">
        <f t="shared" si="7"/>
        <v>0</v>
      </c>
      <c r="L43" s="217" t="str">
        <f t="shared" si="8"/>
        <v>0</v>
      </c>
      <c r="M43" s="222">
        <f t="shared" si="9"/>
        <v>307160966.45043391</v>
      </c>
    </row>
    <row r="44" spans="4:13" x14ac:dyDescent="0.35">
      <c r="D44" s="138" t="s">
        <v>901</v>
      </c>
      <c r="E44" s="42" t="s">
        <v>4</v>
      </c>
      <c r="F44" s="205"/>
      <c r="G44" s="44">
        <v>262269358.54956603</v>
      </c>
      <c r="H44" s="237">
        <v>1</v>
      </c>
      <c r="I44" s="380">
        <f t="shared" si="10"/>
        <v>1</v>
      </c>
      <c r="J44" s="217">
        <f t="shared" si="6"/>
        <v>0</v>
      </c>
      <c r="K44" s="222">
        <f t="shared" si="7"/>
        <v>0</v>
      </c>
      <c r="L44" s="217">
        <f t="shared" si="8"/>
        <v>262269358.54956603</v>
      </c>
      <c r="M44" s="222">
        <f t="shared" si="9"/>
        <v>0</v>
      </c>
    </row>
    <row r="45" spans="4:13" x14ac:dyDescent="0.35">
      <c r="D45" s="138" t="s">
        <v>900</v>
      </c>
      <c r="E45" s="42" t="s">
        <v>4</v>
      </c>
      <c r="F45" s="205"/>
      <c r="G45" s="44">
        <v>0</v>
      </c>
      <c r="H45" s="237">
        <v>0</v>
      </c>
      <c r="I45" s="380">
        <f t="shared" si="10"/>
        <v>0</v>
      </c>
      <c r="J45" s="217">
        <f t="shared" si="6"/>
        <v>0</v>
      </c>
      <c r="K45" s="222">
        <f t="shared" si="7"/>
        <v>0</v>
      </c>
      <c r="L45" s="217">
        <f t="shared" si="8"/>
        <v>0</v>
      </c>
      <c r="M45" s="222">
        <f t="shared" si="9"/>
        <v>0</v>
      </c>
    </row>
    <row r="46" spans="4:13" x14ac:dyDescent="0.35">
      <c r="D46" s="138" t="s">
        <v>899</v>
      </c>
      <c r="E46" s="42" t="s">
        <v>4</v>
      </c>
      <c r="F46" s="205"/>
      <c r="G46" s="44">
        <v>27469395.028790388</v>
      </c>
      <c r="H46" s="237" t="s">
        <v>27</v>
      </c>
      <c r="I46" s="380">
        <f t="shared" si="10"/>
        <v>1</v>
      </c>
      <c r="J46" s="217" t="str">
        <f t="shared" si="6"/>
        <v>0</v>
      </c>
      <c r="K46" s="222">
        <f t="shared" si="7"/>
        <v>0</v>
      </c>
      <c r="L46" s="217" t="str">
        <f t="shared" si="8"/>
        <v>0</v>
      </c>
      <c r="M46" s="222">
        <f t="shared" si="9"/>
        <v>27469395.028790388</v>
      </c>
    </row>
    <row r="47" spans="4:13" x14ac:dyDescent="0.35">
      <c r="D47" s="138" t="s">
        <v>898</v>
      </c>
      <c r="E47" s="42" t="s">
        <v>4</v>
      </c>
      <c r="F47" s="205"/>
      <c r="G47" s="44">
        <v>15847690.971209604</v>
      </c>
      <c r="H47" s="237">
        <v>0</v>
      </c>
      <c r="I47" s="380">
        <f t="shared" si="10"/>
        <v>0</v>
      </c>
      <c r="J47" s="217">
        <f t="shared" si="6"/>
        <v>0</v>
      </c>
      <c r="K47" s="222">
        <f t="shared" si="7"/>
        <v>0</v>
      </c>
      <c r="L47" s="217">
        <f t="shared" si="8"/>
        <v>0</v>
      </c>
      <c r="M47" s="222">
        <f t="shared" si="9"/>
        <v>0</v>
      </c>
    </row>
    <row r="48" spans="4:13" x14ac:dyDescent="0.35">
      <c r="D48" s="141" t="s">
        <v>897</v>
      </c>
      <c r="E48" s="42" t="s">
        <v>4</v>
      </c>
      <c r="F48" s="219">
        <v>875509601</v>
      </c>
      <c r="G48" s="113">
        <v>1181467408</v>
      </c>
      <c r="H48" s="237" t="s">
        <v>27</v>
      </c>
      <c r="I48" s="380">
        <f t="shared" si="10"/>
        <v>1</v>
      </c>
      <c r="J48" s="221" t="str">
        <f t="shared" si="6"/>
        <v>0</v>
      </c>
      <c r="K48" s="221">
        <f t="shared" si="7"/>
        <v>875509601</v>
      </c>
      <c r="L48" s="221" t="str">
        <f t="shared" si="8"/>
        <v>0</v>
      </c>
      <c r="M48" s="221">
        <f t="shared" si="9"/>
        <v>1181467408</v>
      </c>
    </row>
    <row r="49" spans="4:14" x14ac:dyDescent="0.35">
      <c r="D49" s="141" t="s">
        <v>896</v>
      </c>
      <c r="E49" s="42" t="s">
        <v>4</v>
      </c>
      <c r="F49" s="219">
        <v>2236439679</v>
      </c>
      <c r="G49" s="113">
        <f>+G50+G59</f>
        <v>70000000</v>
      </c>
      <c r="H49" s="237"/>
      <c r="I49" s="380"/>
      <c r="J49" s="221">
        <f>SUM(J50:J59)</f>
        <v>1182300000</v>
      </c>
      <c r="K49" s="221">
        <f>SUM(K50:K59)</f>
        <v>0</v>
      </c>
      <c r="L49" s="221">
        <f>SUM(L50:L59)</f>
        <v>35000000</v>
      </c>
      <c r="M49" s="221">
        <f>SUM(M50:M59)</f>
        <v>0</v>
      </c>
    </row>
    <row r="50" spans="4:14" x14ac:dyDescent="0.35">
      <c r="D50" s="138" t="s">
        <v>895</v>
      </c>
      <c r="E50" s="42" t="s">
        <v>4</v>
      </c>
      <c r="F50" s="205">
        <v>1054139679</v>
      </c>
      <c r="G50" s="44">
        <v>35000000</v>
      </c>
      <c r="H50" s="237">
        <v>0</v>
      </c>
      <c r="I50" s="380">
        <f t="shared" si="10"/>
        <v>0</v>
      </c>
      <c r="J50" s="217">
        <f t="shared" ref="J50:J63" si="11">IF(ISNUMBER(H50*F50),H50*F50,"0")</f>
        <v>0</v>
      </c>
      <c r="K50" s="222">
        <f t="shared" ref="K50:K63" si="12">IF(H50="mix",F50,0)</f>
        <v>0</v>
      </c>
      <c r="L50" s="217">
        <f t="shared" ref="L50:L63" si="13">IF(ISNUMBER(G50*H50),G50*H50,"0")</f>
        <v>0</v>
      </c>
      <c r="M50" s="222">
        <f t="shared" ref="M50:M63" si="14">IF(H50="mix",G50,0)</f>
        <v>0</v>
      </c>
    </row>
    <row r="51" spans="4:14" outlineLevel="1" x14ac:dyDescent="0.35">
      <c r="D51" s="138" t="s">
        <v>894</v>
      </c>
      <c r="E51" s="42" t="s">
        <v>4</v>
      </c>
      <c r="F51" s="205"/>
      <c r="G51" s="44"/>
      <c r="H51" s="237">
        <v>0</v>
      </c>
      <c r="I51" s="380">
        <f t="shared" si="10"/>
        <v>0</v>
      </c>
      <c r="J51" s="217">
        <f t="shared" si="11"/>
        <v>0</v>
      </c>
      <c r="K51" s="222">
        <f t="shared" si="12"/>
        <v>0</v>
      </c>
      <c r="L51" s="217">
        <f t="shared" si="13"/>
        <v>0</v>
      </c>
      <c r="M51" s="222">
        <f t="shared" si="14"/>
        <v>0</v>
      </c>
    </row>
    <row r="52" spans="4:14" outlineLevel="1" x14ac:dyDescent="0.35">
      <c r="D52" s="138" t="s">
        <v>893</v>
      </c>
      <c r="E52" s="42" t="s">
        <v>4</v>
      </c>
      <c r="F52" s="205"/>
      <c r="G52" s="44"/>
      <c r="H52" s="237">
        <v>0</v>
      </c>
      <c r="I52" s="380">
        <f t="shared" si="10"/>
        <v>0</v>
      </c>
      <c r="J52" s="217">
        <f t="shared" si="11"/>
        <v>0</v>
      </c>
      <c r="K52" s="222">
        <f t="shared" si="12"/>
        <v>0</v>
      </c>
      <c r="L52" s="217">
        <f t="shared" si="13"/>
        <v>0</v>
      </c>
      <c r="M52" s="222">
        <f t="shared" si="14"/>
        <v>0</v>
      </c>
    </row>
    <row r="53" spans="4:14" outlineLevel="1" x14ac:dyDescent="0.35">
      <c r="D53" s="138" t="s">
        <v>892</v>
      </c>
      <c r="E53" s="42" t="s">
        <v>4</v>
      </c>
      <c r="F53" s="205"/>
      <c r="G53" s="44"/>
      <c r="H53" s="237">
        <v>0</v>
      </c>
      <c r="I53" s="380">
        <f t="shared" si="10"/>
        <v>0</v>
      </c>
      <c r="J53" s="217">
        <f t="shared" si="11"/>
        <v>0</v>
      </c>
      <c r="K53" s="222">
        <f t="shared" si="12"/>
        <v>0</v>
      </c>
      <c r="L53" s="217">
        <f t="shared" si="13"/>
        <v>0</v>
      </c>
      <c r="M53" s="222">
        <f t="shared" si="14"/>
        <v>0</v>
      </c>
    </row>
    <row r="54" spans="4:14" outlineLevel="1" x14ac:dyDescent="0.35">
      <c r="D54" s="138" t="s">
        <v>891</v>
      </c>
      <c r="E54" s="42" t="s">
        <v>4</v>
      </c>
      <c r="F54" s="205"/>
      <c r="G54" s="44"/>
      <c r="H54" s="237">
        <v>0</v>
      </c>
      <c r="I54" s="380">
        <f t="shared" si="10"/>
        <v>0</v>
      </c>
      <c r="J54" s="217">
        <f t="shared" si="11"/>
        <v>0</v>
      </c>
      <c r="K54" s="222">
        <f t="shared" si="12"/>
        <v>0</v>
      </c>
      <c r="L54" s="217">
        <f t="shared" si="13"/>
        <v>0</v>
      </c>
      <c r="M54" s="222">
        <f t="shared" si="14"/>
        <v>0</v>
      </c>
    </row>
    <row r="55" spans="4:14" outlineLevel="1" x14ac:dyDescent="0.35">
      <c r="D55" s="138" t="s">
        <v>890</v>
      </c>
      <c r="E55" s="42" t="s">
        <v>4</v>
      </c>
      <c r="F55" s="205"/>
      <c r="G55" s="44"/>
      <c r="H55" s="237">
        <v>0</v>
      </c>
      <c r="I55" s="380">
        <f t="shared" si="10"/>
        <v>0</v>
      </c>
      <c r="J55" s="217">
        <f t="shared" si="11"/>
        <v>0</v>
      </c>
      <c r="K55" s="222">
        <f t="shared" si="12"/>
        <v>0</v>
      </c>
      <c r="L55" s="217">
        <f t="shared" si="13"/>
        <v>0</v>
      </c>
      <c r="M55" s="222">
        <f t="shared" si="14"/>
        <v>0</v>
      </c>
    </row>
    <row r="56" spans="4:14" outlineLevel="1" x14ac:dyDescent="0.35">
      <c r="D56" s="138" t="s">
        <v>889</v>
      </c>
      <c r="E56" s="42" t="s">
        <v>4</v>
      </c>
      <c r="F56" s="205"/>
      <c r="G56" s="44"/>
      <c r="H56" s="237">
        <v>0</v>
      </c>
      <c r="I56" s="380">
        <f t="shared" si="10"/>
        <v>0</v>
      </c>
      <c r="J56" s="217">
        <f t="shared" si="11"/>
        <v>0</v>
      </c>
      <c r="K56" s="222">
        <f t="shared" si="12"/>
        <v>0</v>
      </c>
      <c r="L56" s="217">
        <f t="shared" si="13"/>
        <v>0</v>
      </c>
      <c r="M56" s="222">
        <f t="shared" si="14"/>
        <v>0</v>
      </c>
    </row>
    <row r="57" spans="4:14" outlineLevel="1" x14ac:dyDescent="0.35">
      <c r="D57" s="138" t="s">
        <v>888</v>
      </c>
      <c r="E57" s="42" t="s">
        <v>4</v>
      </c>
      <c r="F57" s="205"/>
      <c r="G57" s="44"/>
      <c r="H57" s="237">
        <v>0</v>
      </c>
      <c r="I57" s="380">
        <f t="shared" si="10"/>
        <v>0</v>
      </c>
      <c r="J57" s="217">
        <f t="shared" si="11"/>
        <v>0</v>
      </c>
      <c r="K57" s="222">
        <f t="shared" si="12"/>
        <v>0</v>
      </c>
      <c r="L57" s="217">
        <f t="shared" si="13"/>
        <v>0</v>
      </c>
      <c r="M57" s="222">
        <f t="shared" si="14"/>
        <v>0</v>
      </c>
    </row>
    <row r="58" spans="4:14" outlineLevel="1" x14ac:dyDescent="0.35">
      <c r="D58" s="138" t="s">
        <v>887</v>
      </c>
      <c r="E58" s="42" t="s">
        <v>4</v>
      </c>
      <c r="F58" s="205"/>
      <c r="G58" s="44"/>
      <c r="H58" s="237">
        <v>0</v>
      </c>
      <c r="I58" s="380">
        <f t="shared" si="10"/>
        <v>0</v>
      </c>
      <c r="J58" s="217">
        <f t="shared" si="11"/>
        <v>0</v>
      </c>
      <c r="K58" s="222">
        <f t="shared" si="12"/>
        <v>0</v>
      </c>
      <c r="L58" s="217">
        <f t="shared" si="13"/>
        <v>0</v>
      </c>
      <c r="M58" s="222">
        <f t="shared" si="14"/>
        <v>0</v>
      </c>
    </row>
    <row r="59" spans="4:14" x14ac:dyDescent="0.35">
      <c r="D59" s="138" t="s">
        <v>886</v>
      </c>
      <c r="E59" s="42" t="s">
        <v>4</v>
      </c>
      <c r="F59" s="205">
        <v>1182300000</v>
      </c>
      <c r="G59" s="44">
        <v>35000000</v>
      </c>
      <c r="H59" s="237">
        <v>1</v>
      </c>
      <c r="I59" s="380">
        <f t="shared" si="10"/>
        <v>1</v>
      </c>
      <c r="J59" s="217">
        <f t="shared" si="11"/>
        <v>1182300000</v>
      </c>
      <c r="K59" s="222">
        <f t="shared" si="12"/>
        <v>0</v>
      </c>
      <c r="L59" s="217">
        <f t="shared" si="13"/>
        <v>35000000</v>
      </c>
      <c r="M59" s="222">
        <f t="shared" si="14"/>
        <v>0</v>
      </c>
    </row>
    <row r="60" spans="4:14" outlineLevel="1" x14ac:dyDescent="0.35">
      <c r="D60" s="138" t="s">
        <v>885</v>
      </c>
      <c r="E60" s="42" t="s">
        <v>4</v>
      </c>
      <c r="F60" s="205"/>
      <c r="G60" s="44"/>
      <c r="H60" s="237">
        <v>0</v>
      </c>
      <c r="I60" s="380">
        <f t="shared" si="10"/>
        <v>0</v>
      </c>
      <c r="J60" s="217">
        <f t="shared" si="11"/>
        <v>0</v>
      </c>
      <c r="K60" s="222">
        <f t="shared" si="12"/>
        <v>0</v>
      </c>
      <c r="L60" s="217">
        <f t="shared" si="13"/>
        <v>0</v>
      </c>
      <c r="M60" s="222">
        <f t="shared" si="14"/>
        <v>0</v>
      </c>
    </row>
    <row r="61" spans="4:14" outlineLevel="1" x14ac:dyDescent="0.35">
      <c r="D61" s="138" t="s">
        <v>884</v>
      </c>
      <c r="E61" s="42" t="s">
        <v>4</v>
      </c>
      <c r="F61" s="205"/>
      <c r="G61" s="44"/>
      <c r="H61" s="237">
        <v>0</v>
      </c>
      <c r="I61" s="380">
        <f t="shared" si="10"/>
        <v>0</v>
      </c>
      <c r="J61" s="217">
        <f t="shared" si="11"/>
        <v>0</v>
      </c>
      <c r="K61" s="222">
        <f t="shared" si="12"/>
        <v>0</v>
      </c>
      <c r="L61" s="217">
        <f t="shared" si="13"/>
        <v>0</v>
      </c>
      <c r="M61" s="222">
        <f t="shared" si="14"/>
        <v>0</v>
      </c>
    </row>
    <row r="62" spans="4:14" x14ac:dyDescent="0.35">
      <c r="D62" s="141" t="s">
        <v>883</v>
      </c>
      <c r="E62" s="42" t="s">
        <v>4</v>
      </c>
      <c r="F62" s="219">
        <v>100463808</v>
      </c>
      <c r="G62" s="113">
        <v>588097356</v>
      </c>
      <c r="H62" s="237">
        <v>1</v>
      </c>
      <c r="I62" s="380">
        <f t="shared" si="10"/>
        <v>1</v>
      </c>
      <c r="J62" s="221">
        <f t="shared" si="11"/>
        <v>100463808</v>
      </c>
      <c r="K62" s="220">
        <f t="shared" si="12"/>
        <v>0</v>
      </c>
      <c r="L62" s="221">
        <f t="shared" si="13"/>
        <v>588097356</v>
      </c>
      <c r="M62" s="220">
        <f t="shared" si="14"/>
        <v>0</v>
      </c>
      <c r="N62" s="24"/>
    </row>
    <row r="63" spans="4:14" x14ac:dyDescent="0.35">
      <c r="D63" s="141" t="s">
        <v>882</v>
      </c>
      <c r="E63" s="42" t="s">
        <v>4</v>
      </c>
      <c r="F63" s="219">
        <v>63000000</v>
      </c>
      <c r="G63" s="113">
        <v>187000000</v>
      </c>
      <c r="H63" s="237">
        <v>0</v>
      </c>
      <c r="I63" s="380">
        <f t="shared" si="10"/>
        <v>0</v>
      </c>
      <c r="J63" s="221">
        <f t="shared" si="11"/>
        <v>0</v>
      </c>
      <c r="K63" s="220">
        <f t="shared" si="12"/>
        <v>0</v>
      </c>
      <c r="L63" s="221">
        <f t="shared" si="13"/>
        <v>0</v>
      </c>
      <c r="M63" s="220">
        <f t="shared" si="14"/>
        <v>0</v>
      </c>
      <c r="N63" s="24"/>
    </row>
    <row r="64" spans="4:14" x14ac:dyDescent="0.35">
      <c r="D64" s="141" t="s">
        <v>881</v>
      </c>
      <c r="E64" s="42" t="s">
        <v>4</v>
      </c>
      <c r="F64" s="219">
        <v>44923343</v>
      </c>
      <c r="G64" s="113">
        <v>39762265</v>
      </c>
      <c r="H64" s="237"/>
      <c r="I64" s="380"/>
      <c r="J64" s="221">
        <f>SUM(J65:J68)</f>
        <v>0</v>
      </c>
      <c r="K64" s="221">
        <f>SUM(K65:K68)</f>
        <v>0</v>
      </c>
      <c r="L64" s="221">
        <f>SUM(L65:L68)</f>
        <v>0</v>
      </c>
      <c r="M64" s="221">
        <f>SUM(M65:M68)</f>
        <v>0</v>
      </c>
      <c r="N64" s="24"/>
    </row>
    <row r="65" spans="2:13" x14ac:dyDescent="0.35">
      <c r="D65" s="138" t="s">
        <v>880</v>
      </c>
      <c r="E65" s="42" t="s">
        <v>4</v>
      </c>
      <c r="F65" s="205">
        <v>26723343</v>
      </c>
      <c r="G65" s="44">
        <v>26400000</v>
      </c>
      <c r="H65" s="237">
        <v>0</v>
      </c>
      <c r="I65" s="380">
        <f t="shared" si="10"/>
        <v>0</v>
      </c>
      <c r="J65" s="217">
        <f>IF(ISNUMBER(H65*F65),H65*F65,"0")</f>
        <v>0</v>
      </c>
      <c r="K65" s="222">
        <f>IF(H65="mix",F65,0)</f>
        <v>0</v>
      </c>
      <c r="L65" s="217">
        <f>IF(ISNUMBER(G65*H65),G65*H65,"0")</f>
        <v>0</v>
      </c>
      <c r="M65" s="222">
        <f>IF(H65="mix",G65,0)</f>
        <v>0</v>
      </c>
    </row>
    <row r="66" spans="2:13" x14ac:dyDescent="0.35">
      <c r="D66" s="138" t="s">
        <v>879</v>
      </c>
      <c r="E66" s="42" t="s">
        <v>4</v>
      </c>
      <c r="F66" s="205">
        <v>11700000</v>
      </c>
      <c r="G66" s="44">
        <v>6100000</v>
      </c>
      <c r="H66" s="237">
        <v>0</v>
      </c>
      <c r="I66" s="380">
        <f t="shared" si="10"/>
        <v>0</v>
      </c>
      <c r="J66" s="217">
        <f>IF(ISNUMBER(H66*F66),H66*F66,"0")</f>
        <v>0</v>
      </c>
      <c r="K66" s="222">
        <f>IF(H66="mix",F66,0)</f>
        <v>0</v>
      </c>
      <c r="L66" s="217">
        <f>IF(ISNUMBER(G66*H66),G66*H66,"0")</f>
        <v>0</v>
      </c>
      <c r="M66" s="222">
        <f>IF(H66="mix",G66,0)</f>
        <v>0</v>
      </c>
    </row>
    <row r="67" spans="2:13" x14ac:dyDescent="0.35">
      <c r="D67" s="138" t="s">
        <v>878</v>
      </c>
      <c r="E67" s="42" t="s">
        <v>4</v>
      </c>
      <c r="F67" s="205">
        <v>6500000</v>
      </c>
      <c r="G67" s="44">
        <v>7262265</v>
      </c>
      <c r="H67" s="237">
        <v>0</v>
      </c>
      <c r="I67" s="380">
        <f t="shared" si="10"/>
        <v>0</v>
      </c>
      <c r="J67" s="217">
        <f>IF(ISNUMBER(H67*F67),H67*F67,"0")</f>
        <v>0</v>
      </c>
      <c r="K67" s="222">
        <f>IF(H67="mix",F67,0)</f>
        <v>0</v>
      </c>
      <c r="L67" s="217">
        <f>IF(ISNUMBER(G67*H67),G67*H67,"0")</f>
        <v>0</v>
      </c>
      <c r="M67" s="222">
        <f>IF(H67="mix",G67,0)</f>
        <v>0</v>
      </c>
    </row>
    <row r="68" spans="2:13" x14ac:dyDescent="0.35">
      <c r="D68" s="141" t="s">
        <v>877</v>
      </c>
      <c r="E68" s="42" t="s">
        <v>4</v>
      </c>
      <c r="F68" s="219">
        <v>404922</v>
      </c>
      <c r="G68" s="44">
        <v>0</v>
      </c>
      <c r="H68" s="237">
        <v>0</v>
      </c>
      <c r="I68" s="380">
        <f t="shared" si="10"/>
        <v>0</v>
      </c>
      <c r="J68" s="217">
        <f>IF(ISNUMBER(H68*F68),H68*F68,"0")</f>
        <v>0</v>
      </c>
      <c r="K68" s="222">
        <f>IF(H68="mix",F68,0)</f>
        <v>0</v>
      </c>
      <c r="L68" s="217">
        <f>IF(ISNUMBER(G68*H68),G68*H68,"0")</f>
        <v>0</v>
      </c>
      <c r="M68" s="222">
        <f>IF(H68="mix",G68,0)</f>
        <v>0</v>
      </c>
    </row>
    <row r="69" spans="2:13" x14ac:dyDescent="0.35">
      <c r="D69" s="141" t="s">
        <v>876</v>
      </c>
      <c r="E69" s="42" t="s">
        <v>4</v>
      </c>
      <c r="F69" s="219">
        <v>2154258647</v>
      </c>
      <c r="G69" s="113">
        <f>+G70+G71</f>
        <v>336582215</v>
      </c>
      <c r="H69" s="237"/>
      <c r="I69" s="380"/>
      <c r="J69" s="86">
        <f>SUM(J70:J71)</f>
        <v>300000000</v>
      </c>
      <c r="K69" s="86">
        <f>SUM(K70:K71)</f>
        <v>1854258647</v>
      </c>
      <c r="L69" s="86">
        <f>SUM(L70:L71)</f>
        <v>114266476</v>
      </c>
      <c r="M69" s="86">
        <f>SUM(M70:M71)</f>
        <v>222315739</v>
      </c>
    </row>
    <row r="70" spans="2:13" x14ac:dyDescent="0.35">
      <c r="D70" s="138" t="s">
        <v>875</v>
      </c>
      <c r="E70" s="42" t="s">
        <v>4</v>
      </c>
      <c r="F70" s="205">
        <v>1854258647</v>
      </c>
      <c r="G70" s="44">
        <v>222315739</v>
      </c>
      <c r="H70" s="237" t="s">
        <v>27</v>
      </c>
      <c r="I70" s="380">
        <f t="shared" si="10"/>
        <v>1</v>
      </c>
      <c r="J70" s="88" t="str">
        <f>IF(ISNUMBER(H70*F70),H70*F70,"0")</f>
        <v>0</v>
      </c>
      <c r="K70" s="202">
        <f>F70</f>
        <v>1854258647</v>
      </c>
      <c r="L70" s="88" t="str">
        <f>IF(ISNUMBER(G70*H70),G70*H70,"0")</f>
        <v>0</v>
      </c>
      <c r="M70" s="202">
        <f>IF(H70="mix",G70,0)</f>
        <v>222315739</v>
      </c>
    </row>
    <row r="71" spans="2:13" x14ac:dyDescent="0.35">
      <c r="D71" s="138" t="s">
        <v>874</v>
      </c>
      <c r="E71" s="42" t="s">
        <v>4</v>
      </c>
      <c r="F71" s="205">
        <v>300000000</v>
      </c>
      <c r="G71" s="44">
        <v>114266476</v>
      </c>
      <c r="H71" s="237">
        <v>1</v>
      </c>
      <c r="I71" s="380">
        <f t="shared" si="10"/>
        <v>1</v>
      </c>
      <c r="J71" s="88">
        <f>IF(ISNUMBER(H71*F71),H71*F71,"0")</f>
        <v>300000000</v>
      </c>
      <c r="K71" s="202">
        <f>IF(H71="mix",F71,0)</f>
        <v>0</v>
      </c>
      <c r="L71" s="88">
        <f>IF(ISNUMBER(G71*H71),G71*H71,"0")</f>
        <v>114266476</v>
      </c>
      <c r="M71" s="202">
        <f>IF(H71="mix",G71,0)</f>
        <v>0</v>
      </c>
    </row>
    <row r="72" spans="2:13" x14ac:dyDescent="0.35">
      <c r="D72" s="141" t="s">
        <v>873</v>
      </c>
      <c r="E72" s="42" t="s">
        <v>4</v>
      </c>
      <c r="F72" s="219">
        <v>25000000</v>
      </c>
      <c r="G72" s="113">
        <v>25000000</v>
      </c>
      <c r="H72" s="119">
        <v>0</v>
      </c>
      <c r="I72" s="379">
        <f t="shared" ref="I72:I103" si="15">+IF(H72&lt;&gt;0, 1,0)</f>
        <v>0</v>
      </c>
      <c r="J72" s="221">
        <f>IF(ISNUMBER(H72*F72),H72*F72,"0")</f>
        <v>0</v>
      </c>
      <c r="K72" s="220">
        <f>IF(H72="mix",F72,0)</f>
        <v>0</v>
      </c>
      <c r="L72" s="221">
        <f>IF(ISNUMBER(G72*H72),G72*H72,"0")</f>
        <v>0</v>
      </c>
      <c r="M72" s="220">
        <f>IF(H72="mix",G72,0)</f>
        <v>0</v>
      </c>
    </row>
    <row r="73" spans="2:13" x14ac:dyDescent="0.35">
      <c r="D73" s="73" t="s">
        <v>872</v>
      </c>
      <c r="E73" s="73" t="s">
        <v>4</v>
      </c>
      <c r="F73" s="83">
        <f>F74</f>
        <v>1074000000</v>
      </c>
      <c r="G73" s="83">
        <f>+G74</f>
        <v>1074000000</v>
      </c>
      <c r="H73" s="143"/>
      <c r="I73" s="384"/>
      <c r="J73" s="203">
        <f t="shared" ref="J73:M74" si="16">J74</f>
        <v>1074000000</v>
      </c>
      <c r="K73" s="203">
        <f t="shared" si="16"/>
        <v>0</v>
      </c>
      <c r="L73" s="203">
        <f t="shared" si="16"/>
        <v>1074000000</v>
      </c>
      <c r="M73" s="203">
        <f t="shared" si="16"/>
        <v>0</v>
      </c>
    </row>
    <row r="74" spans="2:13" x14ac:dyDescent="0.35">
      <c r="D74" s="141" t="s">
        <v>871</v>
      </c>
      <c r="E74" s="42" t="s">
        <v>4</v>
      </c>
      <c r="F74" s="219">
        <f>F75</f>
        <v>1074000000</v>
      </c>
      <c r="G74" s="218">
        <f>+G75</f>
        <v>1074000000</v>
      </c>
      <c r="H74" s="119"/>
      <c r="I74" s="379">
        <f t="shared" si="15"/>
        <v>0</v>
      </c>
      <c r="J74" s="217">
        <f t="shared" si="16"/>
        <v>1074000000</v>
      </c>
      <c r="K74" s="217">
        <f t="shared" si="16"/>
        <v>0</v>
      </c>
      <c r="L74" s="217">
        <f t="shared" si="16"/>
        <v>1074000000</v>
      </c>
      <c r="M74" s="217">
        <f t="shared" si="16"/>
        <v>0</v>
      </c>
    </row>
    <row r="75" spans="2:13" x14ac:dyDescent="0.35">
      <c r="D75" s="138" t="s">
        <v>870</v>
      </c>
      <c r="E75" s="42" t="s">
        <v>4</v>
      </c>
      <c r="F75" s="205">
        <v>1074000000</v>
      </c>
      <c r="G75" s="44">
        <v>1074000000</v>
      </c>
      <c r="H75" s="119">
        <v>1</v>
      </c>
      <c r="I75" s="379">
        <f t="shared" si="15"/>
        <v>1</v>
      </c>
      <c r="J75" s="217">
        <f>IF(ISNUMBER(H75*F75),H75*F75,"0")</f>
        <v>1074000000</v>
      </c>
      <c r="K75" s="202">
        <f>IF(H75="mix",F75,0)</f>
        <v>0</v>
      </c>
      <c r="L75" s="88">
        <f>IF(ISNUMBER(G75*H75),G75*H75,"0")</f>
        <v>1074000000</v>
      </c>
      <c r="M75" s="202">
        <f>IF(H75="mix",G75,0)</f>
        <v>0</v>
      </c>
    </row>
    <row r="76" spans="2:13" x14ac:dyDescent="0.35">
      <c r="B76" s="216" t="s">
        <v>869</v>
      </c>
      <c r="C76" s="216" t="s">
        <v>868</v>
      </c>
      <c r="D76" s="73" t="s">
        <v>36</v>
      </c>
      <c r="E76" s="73" t="s">
        <v>36</v>
      </c>
      <c r="F76" s="215">
        <f>SUM(F77:F115)</f>
        <v>8774000000</v>
      </c>
      <c r="G76" s="71">
        <f>SUM(G77:G115)</f>
        <v>8974000000</v>
      </c>
      <c r="H76" s="214"/>
      <c r="I76" s="385"/>
      <c r="J76" s="203">
        <f>SUM(J77:J115)</f>
        <v>5730000000</v>
      </c>
      <c r="K76" s="203">
        <f>SUM(K77:K115)</f>
        <v>2013000000</v>
      </c>
      <c r="L76" s="203">
        <f>SUM(L77:L115)</f>
        <v>5886000000</v>
      </c>
      <c r="M76" s="203">
        <f>SUM(M77:M115)</f>
        <v>2013000000</v>
      </c>
    </row>
    <row r="77" spans="2:13" x14ac:dyDescent="0.35">
      <c r="B77" s="212">
        <v>174</v>
      </c>
      <c r="C77" s="213" t="s">
        <v>867</v>
      </c>
      <c r="D77" s="211" t="s">
        <v>177</v>
      </c>
      <c r="E77" s="73"/>
      <c r="F77" s="210">
        <v>156000000</v>
      </c>
      <c r="G77" s="209">
        <v>156000000</v>
      </c>
      <c r="H77" s="180">
        <v>0</v>
      </c>
      <c r="I77" s="386">
        <f t="shared" si="15"/>
        <v>0</v>
      </c>
      <c r="J77" s="88">
        <f t="shared" ref="J77:J115" si="17">IF(ISNUMBER(H77*F77),H77*F77,"0")</f>
        <v>0</v>
      </c>
      <c r="K77" s="202">
        <f t="shared" ref="K77:K115" si="18">IF(H77="mix",F77,0)</f>
        <v>0</v>
      </c>
      <c r="L77" s="88">
        <f t="shared" ref="L77:L115" si="19">IF(ISNUMBER(G77*H77),G77*H77,"0")</f>
        <v>0</v>
      </c>
      <c r="M77" s="202">
        <f t="shared" ref="M77:M115" si="20">IF(H77="mix",G77,0)</f>
        <v>0</v>
      </c>
    </row>
    <row r="78" spans="2:13" x14ac:dyDescent="0.35">
      <c r="B78" s="212">
        <v>174</v>
      </c>
      <c r="C78" s="212">
        <v>110268</v>
      </c>
      <c r="D78" s="211" t="s">
        <v>866</v>
      </c>
      <c r="E78" s="73"/>
      <c r="F78" s="210">
        <v>13000000</v>
      </c>
      <c r="G78" s="209">
        <v>14000000</v>
      </c>
      <c r="H78" s="180">
        <v>0</v>
      </c>
      <c r="I78" s="386">
        <f t="shared" si="15"/>
        <v>0</v>
      </c>
      <c r="J78" s="88">
        <f t="shared" si="17"/>
        <v>0</v>
      </c>
      <c r="K78" s="202">
        <f t="shared" si="18"/>
        <v>0</v>
      </c>
      <c r="L78" s="88">
        <f t="shared" si="19"/>
        <v>0</v>
      </c>
      <c r="M78" s="202">
        <f t="shared" si="20"/>
        <v>0</v>
      </c>
    </row>
    <row r="79" spans="2:13" x14ac:dyDescent="0.35">
      <c r="B79" s="212">
        <v>174</v>
      </c>
      <c r="C79" s="212">
        <v>180105</v>
      </c>
      <c r="D79" s="211" t="s">
        <v>865</v>
      </c>
      <c r="E79" s="73"/>
      <c r="F79" s="210">
        <v>5000000</v>
      </c>
      <c r="G79" s="209">
        <v>6000000</v>
      </c>
      <c r="H79" s="180">
        <v>0</v>
      </c>
      <c r="I79" s="386">
        <f t="shared" si="15"/>
        <v>0</v>
      </c>
      <c r="J79" s="88">
        <f t="shared" si="17"/>
        <v>0</v>
      </c>
      <c r="K79" s="202">
        <f t="shared" si="18"/>
        <v>0</v>
      </c>
      <c r="L79" s="88">
        <f t="shared" si="19"/>
        <v>0</v>
      </c>
      <c r="M79" s="202">
        <f t="shared" si="20"/>
        <v>0</v>
      </c>
    </row>
    <row r="80" spans="2:13" x14ac:dyDescent="0.35">
      <c r="B80" s="206">
        <v>174</v>
      </c>
      <c r="C80" s="206">
        <v>200402</v>
      </c>
      <c r="D80" s="138" t="s">
        <v>864</v>
      </c>
      <c r="E80" s="42" t="s">
        <v>36</v>
      </c>
      <c r="F80" s="205">
        <v>9000000</v>
      </c>
      <c r="G80" s="79">
        <v>15000000</v>
      </c>
      <c r="H80" s="180">
        <v>0</v>
      </c>
      <c r="I80" s="386">
        <f t="shared" si="15"/>
        <v>0</v>
      </c>
      <c r="J80" s="88">
        <f t="shared" si="17"/>
        <v>0</v>
      </c>
      <c r="K80" s="202">
        <f t="shared" si="18"/>
        <v>0</v>
      </c>
      <c r="L80" s="88">
        <f t="shared" si="19"/>
        <v>0</v>
      </c>
      <c r="M80" s="202">
        <f t="shared" si="20"/>
        <v>0</v>
      </c>
    </row>
    <row r="81" spans="2:13" x14ac:dyDescent="0.35">
      <c r="B81" s="206">
        <v>174</v>
      </c>
      <c r="C81" s="206">
        <v>200403</v>
      </c>
      <c r="D81" s="138" t="s">
        <v>863</v>
      </c>
      <c r="E81" s="42"/>
      <c r="F81" s="205">
        <v>6000000</v>
      </c>
      <c r="G81" s="79">
        <v>5000000</v>
      </c>
      <c r="H81" s="180">
        <v>0</v>
      </c>
      <c r="I81" s="386">
        <f t="shared" si="15"/>
        <v>0</v>
      </c>
      <c r="J81" s="88">
        <f t="shared" si="17"/>
        <v>0</v>
      </c>
      <c r="K81" s="202">
        <f t="shared" si="18"/>
        <v>0</v>
      </c>
      <c r="L81" s="88">
        <f t="shared" si="19"/>
        <v>0</v>
      </c>
      <c r="M81" s="202">
        <f t="shared" si="20"/>
        <v>0</v>
      </c>
    </row>
    <row r="82" spans="2:13" x14ac:dyDescent="0.35">
      <c r="B82" s="206">
        <v>174</v>
      </c>
      <c r="C82" s="206">
        <v>210331</v>
      </c>
      <c r="D82" s="138" t="s">
        <v>862</v>
      </c>
      <c r="E82" s="42"/>
      <c r="F82" s="205">
        <v>0</v>
      </c>
      <c r="G82" s="79">
        <v>32000000</v>
      </c>
      <c r="H82" s="180">
        <v>0</v>
      </c>
      <c r="I82" s="386">
        <f t="shared" si="15"/>
        <v>0</v>
      </c>
      <c r="J82" s="88">
        <f t="shared" si="17"/>
        <v>0</v>
      </c>
      <c r="K82" s="202">
        <f t="shared" si="18"/>
        <v>0</v>
      </c>
      <c r="L82" s="88">
        <f t="shared" si="19"/>
        <v>0</v>
      </c>
      <c r="M82" s="202">
        <f t="shared" si="20"/>
        <v>0</v>
      </c>
    </row>
    <row r="83" spans="2:13" x14ac:dyDescent="0.35">
      <c r="B83" s="206">
        <v>174</v>
      </c>
      <c r="C83" s="206">
        <v>230608</v>
      </c>
      <c r="D83" s="138" t="s">
        <v>861</v>
      </c>
      <c r="E83" s="42"/>
      <c r="F83" s="205">
        <v>3000000</v>
      </c>
      <c r="G83" s="79">
        <v>3000000</v>
      </c>
      <c r="H83" s="180">
        <v>0</v>
      </c>
      <c r="I83" s="386">
        <f t="shared" si="15"/>
        <v>0</v>
      </c>
      <c r="J83" s="88">
        <f t="shared" si="17"/>
        <v>0</v>
      </c>
      <c r="K83" s="202">
        <f t="shared" si="18"/>
        <v>0</v>
      </c>
      <c r="L83" s="88">
        <f t="shared" si="19"/>
        <v>0</v>
      </c>
      <c r="M83" s="202">
        <f t="shared" si="20"/>
        <v>0</v>
      </c>
    </row>
    <row r="84" spans="2:13" x14ac:dyDescent="0.35">
      <c r="B84" s="206">
        <v>174</v>
      </c>
      <c r="C84" s="206">
        <v>730218</v>
      </c>
      <c r="D84" s="138" t="s">
        <v>860</v>
      </c>
      <c r="E84" s="42"/>
      <c r="F84" s="205">
        <v>62000000</v>
      </c>
      <c r="G84" s="79">
        <v>65000000</v>
      </c>
      <c r="H84" s="180">
        <v>0</v>
      </c>
      <c r="I84" s="386">
        <f t="shared" si="15"/>
        <v>0</v>
      </c>
      <c r="J84" s="88">
        <f t="shared" si="17"/>
        <v>0</v>
      </c>
      <c r="K84" s="202">
        <f t="shared" si="18"/>
        <v>0</v>
      </c>
      <c r="L84" s="88">
        <f t="shared" si="19"/>
        <v>0</v>
      </c>
      <c r="M84" s="202">
        <f t="shared" si="20"/>
        <v>0</v>
      </c>
    </row>
    <row r="85" spans="2:13" x14ac:dyDescent="0.35">
      <c r="B85" s="206">
        <v>174</v>
      </c>
      <c r="C85" s="206">
        <v>730234</v>
      </c>
      <c r="D85" s="138" t="s">
        <v>859</v>
      </c>
      <c r="E85" s="42" t="s">
        <v>36</v>
      </c>
      <c r="F85" s="205">
        <v>3000000</v>
      </c>
      <c r="G85" s="79">
        <v>3000000</v>
      </c>
      <c r="H85" s="180">
        <v>0</v>
      </c>
      <c r="I85" s="386">
        <f t="shared" si="15"/>
        <v>0</v>
      </c>
      <c r="J85" s="88">
        <f t="shared" si="17"/>
        <v>0</v>
      </c>
      <c r="K85" s="202">
        <f t="shared" si="18"/>
        <v>0</v>
      </c>
      <c r="L85" s="88">
        <f t="shared" si="19"/>
        <v>0</v>
      </c>
      <c r="M85" s="202">
        <f t="shared" si="20"/>
        <v>0</v>
      </c>
    </row>
    <row r="86" spans="2:13" x14ac:dyDescent="0.35">
      <c r="B86" s="206">
        <v>174</v>
      </c>
      <c r="C86" s="206">
        <v>800201</v>
      </c>
      <c r="D86" s="138" t="s">
        <v>858</v>
      </c>
      <c r="E86" s="42" t="s">
        <v>36</v>
      </c>
      <c r="F86" s="205">
        <v>1050000000</v>
      </c>
      <c r="G86" s="79">
        <v>862000000</v>
      </c>
      <c r="H86" s="180">
        <v>1</v>
      </c>
      <c r="I86" s="386">
        <f t="shared" si="15"/>
        <v>1</v>
      </c>
      <c r="J86" s="88">
        <f t="shared" si="17"/>
        <v>1050000000</v>
      </c>
      <c r="K86" s="202">
        <f t="shared" si="18"/>
        <v>0</v>
      </c>
      <c r="L86" s="88">
        <f t="shared" si="19"/>
        <v>862000000</v>
      </c>
      <c r="M86" s="202">
        <f t="shared" si="20"/>
        <v>0</v>
      </c>
    </row>
    <row r="87" spans="2:13" x14ac:dyDescent="0.35">
      <c r="B87" s="206">
        <v>174</v>
      </c>
      <c r="C87" s="206">
        <v>800212</v>
      </c>
      <c r="D87" s="138" t="s">
        <v>857</v>
      </c>
      <c r="E87" s="42" t="s">
        <v>36</v>
      </c>
      <c r="F87" s="205">
        <v>152000000</v>
      </c>
      <c r="G87" s="79">
        <v>152000000</v>
      </c>
      <c r="H87" s="180">
        <v>1</v>
      </c>
      <c r="I87" s="386">
        <f t="shared" si="15"/>
        <v>1</v>
      </c>
      <c r="J87" s="88">
        <f t="shared" si="17"/>
        <v>152000000</v>
      </c>
      <c r="K87" s="202">
        <f t="shared" si="18"/>
        <v>0</v>
      </c>
      <c r="L87" s="88">
        <f t="shared" si="19"/>
        <v>152000000</v>
      </c>
      <c r="M87" s="202">
        <f t="shared" si="20"/>
        <v>0</v>
      </c>
    </row>
    <row r="88" spans="2:13" x14ac:dyDescent="0.35">
      <c r="B88" s="206">
        <v>174</v>
      </c>
      <c r="C88" s="206">
        <v>800215</v>
      </c>
      <c r="D88" s="138" t="s">
        <v>856</v>
      </c>
      <c r="E88" s="42" t="s">
        <v>36</v>
      </c>
      <c r="F88" s="205">
        <v>97000000</v>
      </c>
      <c r="G88" s="79">
        <v>97000000</v>
      </c>
      <c r="H88" s="251">
        <v>0</v>
      </c>
      <c r="I88" s="387">
        <f t="shared" si="15"/>
        <v>0</v>
      </c>
      <c r="J88" s="88">
        <f t="shared" si="17"/>
        <v>0</v>
      </c>
      <c r="K88" s="202">
        <f t="shared" si="18"/>
        <v>0</v>
      </c>
      <c r="L88" s="88">
        <f t="shared" si="19"/>
        <v>0</v>
      </c>
      <c r="M88" s="202">
        <f t="shared" si="20"/>
        <v>0</v>
      </c>
    </row>
    <row r="89" spans="2:13" x14ac:dyDescent="0.35">
      <c r="B89" s="206">
        <v>174</v>
      </c>
      <c r="C89" s="206">
        <v>800216</v>
      </c>
      <c r="D89" s="138" t="s">
        <v>855</v>
      </c>
      <c r="E89" s="42" t="s">
        <v>36</v>
      </c>
      <c r="F89" s="205">
        <v>431000000</v>
      </c>
      <c r="G89" s="79">
        <v>431000000</v>
      </c>
      <c r="H89" s="180">
        <v>1</v>
      </c>
      <c r="I89" s="386">
        <f t="shared" si="15"/>
        <v>1</v>
      </c>
      <c r="J89" s="88">
        <f t="shared" si="17"/>
        <v>431000000</v>
      </c>
      <c r="K89" s="202">
        <f t="shared" si="18"/>
        <v>0</v>
      </c>
      <c r="L89" s="88">
        <f t="shared" si="19"/>
        <v>431000000</v>
      </c>
      <c r="M89" s="202">
        <f t="shared" si="20"/>
        <v>0</v>
      </c>
    </row>
    <row r="90" spans="2:13" x14ac:dyDescent="0.35">
      <c r="B90" s="206">
        <v>174</v>
      </c>
      <c r="C90" s="206">
        <v>830101</v>
      </c>
      <c r="D90" s="138" t="s">
        <v>854</v>
      </c>
      <c r="E90" s="42" t="s">
        <v>36</v>
      </c>
      <c r="F90" s="205">
        <v>4000000</v>
      </c>
      <c r="G90" s="79">
        <v>6000000</v>
      </c>
      <c r="H90" s="180">
        <v>0</v>
      </c>
      <c r="I90" s="386">
        <f t="shared" si="15"/>
        <v>0</v>
      </c>
      <c r="J90" s="88">
        <f t="shared" si="17"/>
        <v>0</v>
      </c>
      <c r="K90" s="202">
        <f t="shared" si="18"/>
        <v>0</v>
      </c>
      <c r="L90" s="88">
        <f t="shared" si="19"/>
        <v>0</v>
      </c>
      <c r="M90" s="202">
        <f t="shared" si="20"/>
        <v>0</v>
      </c>
    </row>
    <row r="91" spans="2:13" x14ac:dyDescent="0.35">
      <c r="B91" s="206">
        <v>174</v>
      </c>
      <c r="C91" s="206">
        <v>830201</v>
      </c>
      <c r="D91" s="138" t="s">
        <v>853</v>
      </c>
      <c r="E91" s="42" t="s">
        <v>36</v>
      </c>
      <c r="F91" s="205">
        <v>668000000</v>
      </c>
      <c r="G91" s="79">
        <v>559000000</v>
      </c>
      <c r="H91" s="180">
        <v>1</v>
      </c>
      <c r="I91" s="386">
        <f t="shared" si="15"/>
        <v>1</v>
      </c>
      <c r="J91" s="88">
        <f t="shared" si="17"/>
        <v>668000000</v>
      </c>
      <c r="K91" s="202">
        <f t="shared" si="18"/>
        <v>0</v>
      </c>
      <c r="L91" s="88">
        <f t="shared" si="19"/>
        <v>559000000</v>
      </c>
      <c r="M91" s="202">
        <f t="shared" si="20"/>
        <v>0</v>
      </c>
    </row>
    <row r="92" spans="2:13" x14ac:dyDescent="0.35">
      <c r="B92" s="206">
        <v>174</v>
      </c>
      <c r="C92" s="206">
        <v>830202</v>
      </c>
      <c r="D92" s="138" t="s">
        <v>852</v>
      </c>
      <c r="E92" s="42" t="s">
        <v>36</v>
      </c>
      <c r="F92" s="205">
        <v>110000000</v>
      </c>
      <c r="G92" s="79">
        <v>93000000</v>
      </c>
      <c r="H92" s="180">
        <v>1</v>
      </c>
      <c r="I92" s="386">
        <f t="shared" si="15"/>
        <v>1</v>
      </c>
      <c r="J92" s="88">
        <f t="shared" si="17"/>
        <v>110000000</v>
      </c>
      <c r="K92" s="202">
        <f t="shared" si="18"/>
        <v>0</v>
      </c>
      <c r="L92" s="88">
        <f t="shared" si="19"/>
        <v>93000000</v>
      </c>
      <c r="M92" s="202">
        <f t="shared" si="20"/>
        <v>0</v>
      </c>
    </row>
    <row r="93" spans="2:13" x14ac:dyDescent="0.35">
      <c r="B93" s="206">
        <v>174</v>
      </c>
      <c r="C93" s="206">
        <v>840101</v>
      </c>
      <c r="D93" s="138" t="s">
        <v>851</v>
      </c>
      <c r="E93" s="42" t="s">
        <v>36</v>
      </c>
      <c r="F93" s="205">
        <v>2000000</v>
      </c>
      <c r="G93" s="79">
        <v>1000000</v>
      </c>
      <c r="H93" s="180">
        <v>1</v>
      </c>
      <c r="I93" s="386">
        <f t="shared" si="15"/>
        <v>1</v>
      </c>
      <c r="J93" s="88">
        <f t="shared" si="17"/>
        <v>2000000</v>
      </c>
      <c r="K93" s="202">
        <f t="shared" si="18"/>
        <v>0</v>
      </c>
      <c r="L93" s="88">
        <f t="shared" si="19"/>
        <v>1000000</v>
      </c>
      <c r="M93" s="202">
        <f t="shared" si="20"/>
        <v>0</v>
      </c>
    </row>
    <row r="94" spans="2:13" x14ac:dyDescent="0.35">
      <c r="B94" s="206">
        <v>174</v>
      </c>
      <c r="C94" s="206">
        <v>840201</v>
      </c>
      <c r="D94" s="138" t="s">
        <v>850</v>
      </c>
      <c r="E94" s="42" t="s">
        <v>36</v>
      </c>
      <c r="F94" s="205">
        <v>12000000</v>
      </c>
      <c r="G94" s="79">
        <v>8000000</v>
      </c>
      <c r="H94" s="180">
        <v>1</v>
      </c>
      <c r="I94" s="386">
        <f t="shared" si="15"/>
        <v>1</v>
      </c>
      <c r="J94" s="88">
        <f t="shared" si="17"/>
        <v>12000000</v>
      </c>
      <c r="K94" s="202">
        <f t="shared" si="18"/>
        <v>0</v>
      </c>
      <c r="L94" s="88">
        <f t="shared" si="19"/>
        <v>8000000</v>
      </c>
      <c r="M94" s="202">
        <f t="shared" si="20"/>
        <v>0</v>
      </c>
    </row>
    <row r="95" spans="2:13" x14ac:dyDescent="0.35">
      <c r="B95" s="206">
        <v>174</v>
      </c>
      <c r="C95" s="206">
        <v>940102</v>
      </c>
      <c r="D95" s="138" t="s">
        <v>849</v>
      </c>
      <c r="E95" s="42"/>
      <c r="F95" s="205">
        <v>986000000</v>
      </c>
      <c r="G95" s="208">
        <v>986000000</v>
      </c>
      <c r="H95" s="180" t="s">
        <v>27</v>
      </c>
      <c r="I95" s="386">
        <f t="shared" si="15"/>
        <v>1</v>
      </c>
      <c r="J95" s="88" t="str">
        <f t="shared" si="17"/>
        <v>0</v>
      </c>
      <c r="K95" s="202">
        <f t="shared" si="18"/>
        <v>986000000</v>
      </c>
      <c r="L95" s="88" t="str">
        <f t="shared" si="19"/>
        <v>0</v>
      </c>
      <c r="M95" s="202">
        <f t="shared" si="20"/>
        <v>986000000</v>
      </c>
    </row>
    <row r="96" spans="2:13" x14ac:dyDescent="0.35">
      <c r="B96" s="206">
        <v>174</v>
      </c>
      <c r="C96" s="206">
        <v>940103</v>
      </c>
      <c r="D96" s="138" t="s">
        <v>848</v>
      </c>
      <c r="E96" s="42"/>
      <c r="F96" s="205">
        <v>988000000</v>
      </c>
      <c r="G96" s="208">
        <v>988000000</v>
      </c>
      <c r="H96" s="180" t="s">
        <v>27</v>
      </c>
      <c r="I96" s="386">
        <f t="shared" si="15"/>
        <v>1</v>
      </c>
      <c r="J96" s="88" t="str">
        <f t="shared" si="17"/>
        <v>0</v>
      </c>
      <c r="K96" s="202">
        <f t="shared" si="18"/>
        <v>988000000</v>
      </c>
      <c r="L96" s="88" t="str">
        <f t="shared" si="19"/>
        <v>0</v>
      </c>
      <c r="M96" s="202">
        <f t="shared" si="20"/>
        <v>988000000</v>
      </c>
    </row>
    <row r="97" spans="2:13" x14ac:dyDescent="0.35">
      <c r="B97" s="206">
        <v>174</v>
      </c>
      <c r="C97" s="206">
        <v>940202</v>
      </c>
      <c r="D97" s="138" t="s">
        <v>847</v>
      </c>
      <c r="E97" s="42"/>
      <c r="F97" s="205">
        <v>70000000</v>
      </c>
      <c r="G97" s="208">
        <v>70000000</v>
      </c>
      <c r="H97" s="180">
        <v>0</v>
      </c>
      <c r="I97" s="386">
        <f t="shared" si="15"/>
        <v>0</v>
      </c>
      <c r="J97" s="88">
        <f t="shared" si="17"/>
        <v>0</v>
      </c>
      <c r="K97" s="202">
        <f t="shared" si="18"/>
        <v>0</v>
      </c>
      <c r="L97" s="88">
        <f t="shared" si="19"/>
        <v>0</v>
      </c>
      <c r="M97" s="202">
        <f t="shared" si="20"/>
        <v>0</v>
      </c>
    </row>
    <row r="98" spans="2:13" x14ac:dyDescent="0.35">
      <c r="B98" s="206">
        <v>174</v>
      </c>
      <c r="C98" s="206">
        <v>940204</v>
      </c>
      <c r="D98" s="138" t="s">
        <v>846</v>
      </c>
      <c r="E98" s="42" t="s">
        <v>36</v>
      </c>
      <c r="F98" s="205">
        <v>39000000</v>
      </c>
      <c r="G98" s="79">
        <v>39000000</v>
      </c>
      <c r="H98" s="180" t="s">
        <v>27</v>
      </c>
      <c r="I98" s="386">
        <f t="shared" si="15"/>
        <v>1</v>
      </c>
      <c r="J98" s="88" t="str">
        <f t="shared" si="17"/>
        <v>0</v>
      </c>
      <c r="K98" s="202">
        <f t="shared" si="18"/>
        <v>39000000</v>
      </c>
      <c r="L98" s="88" t="str">
        <f t="shared" si="19"/>
        <v>0</v>
      </c>
      <c r="M98" s="202">
        <f t="shared" si="20"/>
        <v>39000000</v>
      </c>
    </row>
    <row r="99" spans="2:13" x14ac:dyDescent="0.35">
      <c r="B99" s="206">
        <v>174</v>
      </c>
      <c r="C99" s="206">
        <v>970103</v>
      </c>
      <c r="D99" s="138" t="s">
        <v>845</v>
      </c>
      <c r="E99" s="42" t="s">
        <v>36</v>
      </c>
      <c r="F99" s="205">
        <v>31000000</v>
      </c>
      <c r="G99" s="79">
        <v>31000000</v>
      </c>
      <c r="H99" s="180">
        <v>1</v>
      </c>
      <c r="I99" s="386">
        <f t="shared" si="15"/>
        <v>1</v>
      </c>
      <c r="J99" s="88">
        <f t="shared" si="17"/>
        <v>31000000</v>
      </c>
      <c r="K99" s="202">
        <f t="shared" si="18"/>
        <v>0</v>
      </c>
      <c r="L99" s="88">
        <f t="shared" si="19"/>
        <v>31000000</v>
      </c>
      <c r="M99" s="202">
        <f t="shared" si="20"/>
        <v>0</v>
      </c>
    </row>
    <row r="100" spans="2:13" x14ac:dyDescent="0.35">
      <c r="B100" s="206">
        <v>174</v>
      </c>
      <c r="C100" s="206">
        <v>970104</v>
      </c>
      <c r="D100" s="138" t="s">
        <v>844</v>
      </c>
      <c r="E100" s="42" t="s">
        <v>36</v>
      </c>
      <c r="F100" s="205">
        <v>23000000</v>
      </c>
      <c r="G100" s="79">
        <v>23000000</v>
      </c>
      <c r="H100" s="180">
        <v>1</v>
      </c>
      <c r="I100" s="386">
        <f t="shared" si="15"/>
        <v>1</v>
      </c>
      <c r="J100" s="88">
        <f t="shared" si="17"/>
        <v>23000000</v>
      </c>
      <c r="K100" s="202">
        <f t="shared" si="18"/>
        <v>0</v>
      </c>
      <c r="L100" s="88">
        <f t="shared" si="19"/>
        <v>23000000</v>
      </c>
      <c r="M100" s="202">
        <f t="shared" si="20"/>
        <v>0</v>
      </c>
    </row>
    <row r="101" spans="2:13" x14ac:dyDescent="0.35">
      <c r="B101" s="206">
        <v>174</v>
      </c>
      <c r="C101" s="206">
        <v>970105</v>
      </c>
      <c r="D101" s="138" t="s">
        <v>843</v>
      </c>
      <c r="E101" s="42"/>
      <c r="F101" s="205">
        <v>580000000</v>
      </c>
      <c r="G101" s="208">
        <v>580000000</v>
      </c>
      <c r="H101" s="180">
        <v>0</v>
      </c>
      <c r="I101" s="386">
        <f t="shared" si="15"/>
        <v>0</v>
      </c>
      <c r="J101" s="88">
        <f t="shared" si="17"/>
        <v>0</v>
      </c>
      <c r="K101" s="202">
        <f t="shared" si="18"/>
        <v>0</v>
      </c>
      <c r="L101" s="88">
        <f t="shared" si="19"/>
        <v>0</v>
      </c>
      <c r="M101" s="202">
        <f t="shared" si="20"/>
        <v>0</v>
      </c>
    </row>
    <row r="102" spans="2:13" x14ac:dyDescent="0.35">
      <c r="B102" s="206">
        <v>174</v>
      </c>
      <c r="C102" s="206">
        <v>990101</v>
      </c>
      <c r="D102" s="138" t="s">
        <v>842</v>
      </c>
      <c r="E102" s="42"/>
      <c r="F102" s="205">
        <v>23000000</v>
      </c>
      <c r="G102" s="79">
        <v>23000000</v>
      </c>
      <c r="H102" s="180">
        <v>0</v>
      </c>
      <c r="I102" s="386">
        <f t="shared" si="15"/>
        <v>0</v>
      </c>
      <c r="J102" s="88">
        <f t="shared" si="17"/>
        <v>0</v>
      </c>
      <c r="K102" s="202">
        <f t="shared" si="18"/>
        <v>0</v>
      </c>
      <c r="L102" s="88">
        <f t="shared" si="19"/>
        <v>0</v>
      </c>
      <c r="M102" s="202">
        <f t="shared" si="20"/>
        <v>0</v>
      </c>
    </row>
    <row r="103" spans="2:13" x14ac:dyDescent="0.35">
      <c r="B103" s="206">
        <v>134</v>
      </c>
      <c r="C103" s="206">
        <v>820203</v>
      </c>
      <c r="D103" s="138" t="s">
        <v>841</v>
      </c>
      <c r="E103" s="42" t="s">
        <v>36</v>
      </c>
      <c r="F103" s="205">
        <v>342000000</v>
      </c>
      <c r="G103" s="207">
        <v>664000000</v>
      </c>
      <c r="H103" s="180">
        <v>1</v>
      </c>
      <c r="I103" s="386">
        <f t="shared" si="15"/>
        <v>1</v>
      </c>
      <c r="J103" s="88">
        <f t="shared" si="17"/>
        <v>342000000</v>
      </c>
      <c r="K103" s="202">
        <f t="shared" si="18"/>
        <v>0</v>
      </c>
      <c r="L103" s="88">
        <f t="shared" si="19"/>
        <v>664000000</v>
      </c>
      <c r="M103" s="202">
        <f t="shared" si="20"/>
        <v>0</v>
      </c>
    </row>
    <row r="104" spans="2:13" x14ac:dyDescent="0.35">
      <c r="B104" s="206">
        <v>134</v>
      </c>
      <c r="C104" s="206">
        <v>230105</v>
      </c>
      <c r="D104" s="138" t="s">
        <v>840</v>
      </c>
      <c r="E104" s="42" t="s">
        <v>36</v>
      </c>
      <c r="F104" s="205">
        <v>4000000</v>
      </c>
      <c r="G104" s="79">
        <v>4000000</v>
      </c>
      <c r="H104" s="180">
        <v>1</v>
      </c>
      <c r="I104" s="386">
        <f t="shared" ref="I104:I117" si="21">+IF(H104&lt;&gt;0, 1,0)</f>
        <v>1</v>
      </c>
      <c r="J104" s="88">
        <f t="shared" si="17"/>
        <v>4000000</v>
      </c>
      <c r="K104" s="202">
        <f t="shared" si="18"/>
        <v>0</v>
      </c>
      <c r="L104" s="88">
        <f t="shared" si="19"/>
        <v>4000000</v>
      </c>
      <c r="M104" s="202">
        <f t="shared" si="20"/>
        <v>0</v>
      </c>
    </row>
    <row r="105" spans="2:13" x14ac:dyDescent="0.35">
      <c r="B105" s="206">
        <v>134</v>
      </c>
      <c r="C105" s="206">
        <v>820201</v>
      </c>
      <c r="D105" s="138" t="s">
        <v>839</v>
      </c>
      <c r="E105" s="42" t="s">
        <v>36</v>
      </c>
      <c r="F105" s="205">
        <v>73000000</v>
      </c>
      <c r="G105" s="79">
        <v>145000000</v>
      </c>
      <c r="H105" s="180">
        <v>1</v>
      </c>
      <c r="I105" s="386">
        <f t="shared" si="21"/>
        <v>1</v>
      </c>
      <c r="J105" s="88">
        <f t="shared" si="17"/>
        <v>73000000</v>
      </c>
      <c r="K105" s="202">
        <f t="shared" si="18"/>
        <v>0</v>
      </c>
      <c r="L105" s="88">
        <f t="shared" si="19"/>
        <v>145000000</v>
      </c>
      <c r="M105" s="202">
        <f t="shared" si="20"/>
        <v>0</v>
      </c>
    </row>
    <row r="106" spans="2:13" x14ac:dyDescent="0.35">
      <c r="B106" s="206">
        <v>134</v>
      </c>
      <c r="C106" s="206">
        <v>820202</v>
      </c>
      <c r="D106" s="138" t="s">
        <v>838</v>
      </c>
      <c r="E106" s="42" t="s">
        <v>36</v>
      </c>
      <c r="F106" s="205">
        <v>63000000</v>
      </c>
      <c r="G106" s="79">
        <v>115000000</v>
      </c>
      <c r="H106" s="180">
        <v>1</v>
      </c>
      <c r="I106" s="386">
        <f t="shared" si="21"/>
        <v>1</v>
      </c>
      <c r="J106" s="88">
        <f t="shared" si="17"/>
        <v>63000000</v>
      </c>
      <c r="K106" s="202">
        <f t="shared" si="18"/>
        <v>0</v>
      </c>
      <c r="L106" s="88">
        <f t="shared" si="19"/>
        <v>115000000</v>
      </c>
      <c r="M106" s="202">
        <f t="shared" si="20"/>
        <v>0</v>
      </c>
    </row>
    <row r="107" spans="2:13" x14ac:dyDescent="0.35">
      <c r="B107" s="206">
        <v>134</v>
      </c>
      <c r="C107" s="206">
        <v>820206</v>
      </c>
      <c r="D107" s="138" t="s">
        <v>837</v>
      </c>
      <c r="E107" s="42" t="s">
        <v>36</v>
      </c>
      <c r="F107" s="205">
        <v>32000000</v>
      </c>
      <c r="G107" s="79">
        <v>58000000</v>
      </c>
      <c r="H107" s="180">
        <v>1</v>
      </c>
      <c r="I107" s="386">
        <f t="shared" si="21"/>
        <v>1</v>
      </c>
      <c r="J107" s="88">
        <f t="shared" si="17"/>
        <v>32000000</v>
      </c>
      <c r="K107" s="202">
        <f t="shared" si="18"/>
        <v>0</v>
      </c>
      <c r="L107" s="88">
        <f t="shared" si="19"/>
        <v>58000000</v>
      </c>
      <c r="M107" s="202">
        <f t="shared" si="20"/>
        <v>0</v>
      </c>
    </row>
    <row r="108" spans="2:13" x14ac:dyDescent="0.35">
      <c r="B108" s="206">
        <v>203</v>
      </c>
      <c r="C108" s="206">
        <v>800220</v>
      </c>
      <c r="D108" s="138" t="s">
        <v>836</v>
      </c>
      <c r="E108" s="42" t="s">
        <v>36</v>
      </c>
      <c r="F108" s="205">
        <v>50000000</v>
      </c>
      <c r="G108" s="79">
        <v>50000000</v>
      </c>
      <c r="H108" s="180">
        <v>1</v>
      </c>
      <c r="I108" s="386">
        <f t="shared" si="21"/>
        <v>1</v>
      </c>
      <c r="J108" s="88">
        <f t="shared" si="17"/>
        <v>50000000</v>
      </c>
      <c r="K108" s="202">
        <f t="shared" si="18"/>
        <v>0</v>
      </c>
      <c r="L108" s="88">
        <f t="shared" si="19"/>
        <v>50000000</v>
      </c>
      <c r="M108" s="202">
        <f t="shared" si="20"/>
        <v>0</v>
      </c>
    </row>
    <row r="109" spans="2:13" x14ac:dyDescent="0.35">
      <c r="B109" s="206">
        <v>203</v>
      </c>
      <c r="C109" s="206">
        <v>800221</v>
      </c>
      <c r="D109" s="138" t="s">
        <v>835</v>
      </c>
      <c r="E109" s="42" t="s">
        <v>36</v>
      </c>
      <c r="F109" s="205">
        <v>1272000000</v>
      </c>
      <c r="G109" s="79">
        <v>1272000000</v>
      </c>
      <c r="H109" s="180">
        <v>1</v>
      </c>
      <c r="I109" s="386">
        <f t="shared" si="21"/>
        <v>1</v>
      </c>
      <c r="J109" s="88">
        <f t="shared" si="17"/>
        <v>1272000000</v>
      </c>
      <c r="K109" s="202">
        <f t="shared" si="18"/>
        <v>0</v>
      </c>
      <c r="L109" s="88">
        <f t="shared" si="19"/>
        <v>1272000000</v>
      </c>
      <c r="M109" s="202">
        <f t="shared" si="20"/>
        <v>0</v>
      </c>
    </row>
    <row r="110" spans="2:13" x14ac:dyDescent="0.35">
      <c r="B110" s="206">
        <v>203</v>
      </c>
      <c r="C110" s="206">
        <v>800222</v>
      </c>
      <c r="D110" s="138" t="s">
        <v>834</v>
      </c>
      <c r="E110" s="42" t="s">
        <v>36</v>
      </c>
      <c r="F110" s="205">
        <v>183000000</v>
      </c>
      <c r="G110" s="79">
        <v>183000000</v>
      </c>
      <c r="H110" s="180">
        <v>1</v>
      </c>
      <c r="I110" s="386">
        <f t="shared" si="21"/>
        <v>1</v>
      </c>
      <c r="J110" s="88">
        <f t="shared" si="17"/>
        <v>183000000</v>
      </c>
      <c r="K110" s="202">
        <f t="shared" si="18"/>
        <v>0</v>
      </c>
      <c r="L110" s="88">
        <f t="shared" si="19"/>
        <v>183000000</v>
      </c>
      <c r="M110" s="202">
        <f t="shared" si="20"/>
        <v>0</v>
      </c>
    </row>
    <row r="111" spans="2:13" x14ac:dyDescent="0.35">
      <c r="B111" s="206">
        <v>203</v>
      </c>
      <c r="C111" s="206">
        <v>800225</v>
      </c>
      <c r="D111" s="138" t="s">
        <v>833</v>
      </c>
      <c r="E111" s="42" t="s">
        <v>36</v>
      </c>
      <c r="F111" s="205">
        <v>60000000</v>
      </c>
      <c r="G111" s="79">
        <v>60000000</v>
      </c>
      <c r="H111" s="180">
        <v>1</v>
      </c>
      <c r="I111" s="386">
        <f t="shared" si="21"/>
        <v>1</v>
      </c>
      <c r="J111" s="88">
        <f t="shared" si="17"/>
        <v>60000000</v>
      </c>
      <c r="K111" s="202">
        <f t="shared" si="18"/>
        <v>0</v>
      </c>
      <c r="L111" s="88">
        <f t="shared" si="19"/>
        <v>60000000</v>
      </c>
      <c r="M111" s="202">
        <f t="shared" si="20"/>
        <v>0</v>
      </c>
    </row>
    <row r="112" spans="2:13" ht="37.9" customHeight="1" x14ac:dyDescent="0.35">
      <c r="B112" s="206">
        <v>174</v>
      </c>
      <c r="C112" s="206">
        <v>800226</v>
      </c>
      <c r="D112" s="138" t="s">
        <v>832</v>
      </c>
      <c r="E112" s="42" t="s">
        <v>36</v>
      </c>
      <c r="F112" s="205">
        <v>9000000</v>
      </c>
      <c r="G112" s="79">
        <v>9000000</v>
      </c>
      <c r="H112" s="180">
        <v>1</v>
      </c>
      <c r="I112" s="386">
        <f t="shared" si="21"/>
        <v>1</v>
      </c>
      <c r="J112" s="88">
        <f t="shared" si="17"/>
        <v>9000000</v>
      </c>
      <c r="K112" s="202">
        <f t="shared" si="18"/>
        <v>0</v>
      </c>
      <c r="L112" s="88">
        <f t="shared" si="19"/>
        <v>9000000</v>
      </c>
      <c r="M112" s="202">
        <f t="shared" si="20"/>
        <v>0</v>
      </c>
    </row>
    <row r="113" spans="2:20" x14ac:dyDescent="0.35">
      <c r="B113" s="206">
        <v>203</v>
      </c>
      <c r="C113" s="206">
        <v>800227</v>
      </c>
      <c r="D113" s="138" t="s">
        <v>831</v>
      </c>
      <c r="E113" s="42" t="s">
        <v>36</v>
      </c>
      <c r="F113" s="205">
        <v>4000000</v>
      </c>
      <c r="G113" s="79">
        <v>4000000</v>
      </c>
      <c r="H113" s="180">
        <v>1</v>
      </c>
      <c r="I113" s="386">
        <f t="shared" si="21"/>
        <v>1</v>
      </c>
      <c r="J113" s="88">
        <f t="shared" si="17"/>
        <v>4000000</v>
      </c>
      <c r="K113" s="202">
        <f t="shared" si="18"/>
        <v>0</v>
      </c>
      <c r="L113" s="88">
        <f t="shared" si="19"/>
        <v>4000000</v>
      </c>
      <c r="M113" s="202">
        <f t="shared" si="20"/>
        <v>0</v>
      </c>
    </row>
    <row r="114" spans="2:20" x14ac:dyDescent="0.35">
      <c r="B114" s="206">
        <v>112</v>
      </c>
      <c r="C114" s="206">
        <v>800228</v>
      </c>
      <c r="D114" s="138" t="s">
        <v>830</v>
      </c>
      <c r="E114" s="42" t="s">
        <v>36</v>
      </c>
      <c r="F114" s="205">
        <v>1000000</v>
      </c>
      <c r="G114" s="79">
        <v>4000000</v>
      </c>
      <c r="H114" s="180">
        <v>1</v>
      </c>
      <c r="I114" s="386">
        <f t="shared" si="21"/>
        <v>1</v>
      </c>
      <c r="J114" s="88">
        <f t="shared" si="17"/>
        <v>1000000</v>
      </c>
      <c r="K114" s="202">
        <f t="shared" si="18"/>
        <v>0</v>
      </c>
      <c r="L114" s="88">
        <f t="shared" si="19"/>
        <v>4000000</v>
      </c>
      <c r="M114" s="202">
        <f t="shared" si="20"/>
        <v>0</v>
      </c>
    </row>
    <row r="115" spans="2:20" x14ac:dyDescent="0.35">
      <c r="B115" s="206">
        <v>123</v>
      </c>
      <c r="C115" s="206">
        <v>800401</v>
      </c>
      <c r="D115" s="138" t="s">
        <v>829</v>
      </c>
      <c r="E115" s="42" t="s">
        <v>36</v>
      </c>
      <c r="F115" s="205">
        <v>1158000000</v>
      </c>
      <c r="G115" s="79">
        <v>1158000000</v>
      </c>
      <c r="H115" s="180">
        <v>1</v>
      </c>
      <c r="I115" s="386">
        <f t="shared" si="21"/>
        <v>1</v>
      </c>
      <c r="J115" s="88">
        <f t="shared" si="17"/>
        <v>1158000000</v>
      </c>
      <c r="K115" s="202">
        <f t="shared" si="18"/>
        <v>0</v>
      </c>
      <c r="L115" s="88">
        <f t="shared" si="19"/>
        <v>1158000000</v>
      </c>
      <c r="M115" s="202">
        <f t="shared" si="20"/>
        <v>0</v>
      </c>
    </row>
    <row r="116" spans="2:20" x14ac:dyDescent="0.35">
      <c r="D116" s="73" t="s">
        <v>455</v>
      </c>
      <c r="E116" s="73" t="s">
        <v>455</v>
      </c>
      <c r="F116" s="250">
        <v>135000000</v>
      </c>
      <c r="G116" s="72">
        <v>55000000</v>
      </c>
      <c r="H116" s="204"/>
      <c r="I116" s="388"/>
      <c r="J116" s="203">
        <f>J117</f>
        <v>0</v>
      </c>
      <c r="K116" s="203">
        <f>K117</f>
        <v>0</v>
      </c>
      <c r="L116" s="203">
        <f>L117</f>
        <v>0</v>
      </c>
      <c r="M116" s="203">
        <f>M117</f>
        <v>0</v>
      </c>
    </row>
    <row r="117" spans="2:20" x14ac:dyDescent="0.35">
      <c r="D117" s="249" t="s">
        <v>828</v>
      </c>
      <c r="E117" s="42" t="s">
        <v>455</v>
      </c>
      <c r="F117" s="42"/>
      <c r="G117" s="74">
        <v>55000000</v>
      </c>
      <c r="H117" s="119">
        <v>0</v>
      </c>
      <c r="I117" s="379">
        <f t="shared" si="21"/>
        <v>0</v>
      </c>
      <c r="J117" s="88">
        <f>IF(ISNUMBER(H117*F117),H117*F117,"0")</f>
        <v>0</v>
      </c>
      <c r="K117" s="202">
        <f>IF(H117="mix",F117,0)</f>
        <v>0</v>
      </c>
      <c r="L117" s="88">
        <f>IF(ISNUMBER(G117*H117),G117*H117,"0")</f>
        <v>0</v>
      </c>
      <c r="M117" s="202">
        <f>IF(H117="mix",G117,0)</f>
        <v>0</v>
      </c>
    </row>
    <row r="119" spans="2:20" x14ac:dyDescent="0.35">
      <c r="B119" s="23">
        <v>2</v>
      </c>
      <c r="D119" s="22" t="s">
        <v>15</v>
      </c>
      <c r="E119" s="21"/>
      <c r="F119" s="21"/>
      <c r="G119" s="21"/>
      <c r="H119" s="52"/>
      <c r="I119" s="52"/>
      <c r="J119" s="52"/>
      <c r="K119" s="52"/>
      <c r="L119" s="52"/>
      <c r="M119" s="52"/>
      <c r="N119" s="21"/>
      <c r="O119" s="21"/>
      <c r="P119" s="21"/>
      <c r="Q119" s="21"/>
      <c r="R119" s="21"/>
      <c r="S119" s="21"/>
      <c r="T119" s="21"/>
    </row>
    <row r="120" spans="2:20" s="199" customFormat="1" ht="36" x14ac:dyDescent="0.35">
      <c r="F120" s="19" t="s">
        <v>827</v>
      </c>
      <c r="G120" s="19" t="s">
        <v>826</v>
      </c>
      <c r="H120" s="200"/>
      <c r="I120" s="200"/>
      <c r="J120" s="200" t="s">
        <v>1013</v>
      </c>
      <c r="K120" s="200" t="s">
        <v>1014</v>
      </c>
      <c r="L120" s="200" t="s">
        <v>1015</v>
      </c>
      <c r="M120" s="200" t="s">
        <v>1016</v>
      </c>
      <c r="N120" s="201" t="s">
        <v>1017</v>
      </c>
      <c r="O120" s="200" t="s">
        <v>1018</v>
      </c>
      <c r="P120" s="200" t="s">
        <v>1019</v>
      </c>
      <c r="Q120" s="200" t="s">
        <v>1020</v>
      </c>
    </row>
    <row r="121" spans="2:20" s="24" customFormat="1" x14ac:dyDescent="0.35">
      <c r="D121" s="141" t="s">
        <v>4</v>
      </c>
      <c r="E121" s="10"/>
      <c r="F121" s="189">
        <f>SUM(F122:F126)</f>
        <v>12706.349149</v>
      </c>
      <c r="G121" s="189">
        <f>SUM(G122:G126)</f>
        <v>13640.784312</v>
      </c>
      <c r="H121" s="189"/>
      <c r="I121" s="189"/>
      <c r="J121" s="189">
        <f>SUM(J122:J126)</f>
        <v>2656.7638079999997</v>
      </c>
      <c r="K121" s="191">
        <f t="shared" ref="K121:K127" si="22">J121/F121</f>
        <v>0.20908946990560928</v>
      </c>
      <c r="L121" s="186">
        <f>SUM(L122:L126)</f>
        <v>4344.7682480000003</v>
      </c>
      <c r="M121" s="190">
        <f>L121/F121</f>
        <v>0.34193679058015947</v>
      </c>
      <c r="N121" s="187">
        <f>SUM(N122:N126)</f>
        <v>2964.9294517650451</v>
      </c>
      <c r="O121" s="47">
        <f t="shared" ref="O121:O129" si="23">N121/G121</f>
        <v>0.21735769615217454</v>
      </c>
      <c r="P121" s="186">
        <f>SUM(P122:P126)</f>
        <v>2968.4135084792242</v>
      </c>
      <c r="Q121" s="47">
        <f t="shared" ref="Q121:Q129" si="24">P121/G121</f>
        <v>0.21761311084347745</v>
      </c>
    </row>
    <row r="122" spans="2:20" x14ac:dyDescent="0.35">
      <c r="D122" s="138" t="s">
        <v>458</v>
      </c>
      <c r="E122" s="14"/>
      <c r="F122" s="196">
        <f>F7/1000000</f>
        <v>4888.1549249999998</v>
      </c>
      <c r="G122" s="196">
        <f>G7/1000000</f>
        <v>4629.9400880000003</v>
      </c>
      <c r="H122" s="196"/>
      <c r="I122" s="196"/>
      <c r="J122" s="196">
        <f>J7/1000000</f>
        <v>0</v>
      </c>
      <c r="K122" s="191">
        <f t="shared" si="22"/>
        <v>0</v>
      </c>
      <c r="L122" s="193">
        <f>K7/1000000</f>
        <v>795</v>
      </c>
      <c r="M122" s="197">
        <f>L122/F122</f>
        <v>0.16263805304820614</v>
      </c>
      <c r="N122" s="194">
        <f>L7/1000000</f>
        <v>0</v>
      </c>
      <c r="O122" s="192">
        <f t="shared" si="23"/>
        <v>0</v>
      </c>
      <c r="P122" s="193">
        <f>M7/1000000</f>
        <v>1230</v>
      </c>
      <c r="Q122" s="192">
        <f t="shared" si="24"/>
        <v>0.26566218495741362</v>
      </c>
    </row>
    <row r="123" spans="2:20" x14ac:dyDescent="0.35">
      <c r="D123" s="138" t="s">
        <v>825</v>
      </c>
      <c r="E123" s="14"/>
      <c r="F123" s="196">
        <f>F31/1000000</f>
        <v>879</v>
      </c>
      <c r="G123" s="196">
        <f>G31/1000000</f>
        <v>908.15</v>
      </c>
      <c r="H123" s="196">
        <f>H31/1000000</f>
        <v>0</v>
      </c>
      <c r="I123" s="196"/>
      <c r="J123" s="196">
        <f>J31/1000000</f>
        <v>0</v>
      </c>
      <c r="K123" s="191">
        <f t="shared" si="22"/>
        <v>0</v>
      </c>
      <c r="L123" s="248">
        <f>K31/1000000</f>
        <v>820</v>
      </c>
      <c r="M123" s="197">
        <f>L123/F123</f>
        <v>0.93287827076222984</v>
      </c>
      <c r="N123" s="194">
        <f>L31/1000000</f>
        <v>0</v>
      </c>
      <c r="O123" s="192">
        <f t="shared" si="23"/>
        <v>0</v>
      </c>
      <c r="P123" s="193">
        <f>M31/1000000</f>
        <v>0</v>
      </c>
      <c r="Q123" s="192">
        <f t="shared" si="24"/>
        <v>0</v>
      </c>
    </row>
    <row r="124" spans="2:20" x14ac:dyDescent="0.35">
      <c r="D124" s="138" t="s">
        <v>824</v>
      </c>
      <c r="E124" s="14"/>
      <c r="F124" s="196">
        <f>F34/1000000</f>
        <v>365.19422400000002</v>
      </c>
      <c r="G124" s="196">
        <f>G34/1000000</f>
        <v>365.19422400000002</v>
      </c>
      <c r="H124" s="196"/>
      <c r="I124" s="196"/>
      <c r="J124" s="196">
        <f>J34/1000000</f>
        <v>0</v>
      </c>
      <c r="K124" s="191">
        <f t="shared" si="22"/>
        <v>0</v>
      </c>
      <c r="L124" s="198">
        <f>K34/1000000</f>
        <v>0</v>
      </c>
      <c r="M124" s="197"/>
      <c r="N124" s="194">
        <f>L34/1000000</f>
        <v>0</v>
      </c>
      <c r="O124" s="192">
        <f t="shared" si="23"/>
        <v>0</v>
      </c>
      <c r="P124" s="193">
        <f>M34/1000000</f>
        <v>0</v>
      </c>
      <c r="Q124" s="192">
        <f t="shared" si="24"/>
        <v>0</v>
      </c>
    </row>
    <row r="125" spans="2:20" x14ac:dyDescent="0.35">
      <c r="D125" s="138" t="s">
        <v>823</v>
      </c>
      <c r="E125" s="14"/>
      <c r="F125" s="196">
        <f>F37/1000000</f>
        <v>5500</v>
      </c>
      <c r="G125" s="196">
        <f>G37/1000000</f>
        <v>6663.5</v>
      </c>
      <c r="H125" s="196"/>
      <c r="I125" s="196"/>
      <c r="J125" s="196">
        <f>J37/1000000</f>
        <v>1582.7638079999999</v>
      </c>
      <c r="K125" s="191">
        <f t="shared" si="22"/>
        <v>0.28777523781818182</v>
      </c>
      <c r="L125" s="193">
        <f>K37/1000000</f>
        <v>2729.7682479999999</v>
      </c>
      <c r="M125" s="195">
        <f>L125/F125</f>
        <v>0.49632149963636363</v>
      </c>
      <c r="N125" s="194">
        <f>L37/1000000</f>
        <v>1890.9294517650453</v>
      </c>
      <c r="O125" s="192">
        <f t="shared" si="23"/>
        <v>0.28377421051475132</v>
      </c>
      <c r="P125" s="193">
        <f>M37/1000000</f>
        <v>1738.4135084792242</v>
      </c>
      <c r="Q125" s="192">
        <f t="shared" si="24"/>
        <v>0.26088594709675461</v>
      </c>
    </row>
    <row r="126" spans="2:20" x14ac:dyDescent="0.35">
      <c r="D126" s="138" t="str">
        <f>+D73</f>
        <v>Programme 134 - Développement des entreprises et régulation</v>
      </c>
      <c r="E126" s="14"/>
      <c r="F126" s="196">
        <f>F73/1000000</f>
        <v>1074</v>
      </c>
      <c r="G126" s="196">
        <f>G73/1000000</f>
        <v>1074</v>
      </c>
      <c r="H126" s="196"/>
      <c r="I126" s="196"/>
      <c r="J126" s="196">
        <f>J73/1000000</f>
        <v>1074</v>
      </c>
      <c r="K126" s="191">
        <f t="shared" si="22"/>
        <v>1</v>
      </c>
      <c r="L126" s="193">
        <f>K73/1000000</f>
        <v>0</v>
      </c>
      <c r="M126" s="195">
        <f>L126/F126</f>
        <v>0</v>
      </c>
      <c r="N126" s="194">
        <f>L73/1000000</f>
        <v>1074</v>
      </c>
      <c r="O126" s="192">
        <f t="shared" si="23"/>
        <v>1</v>
      </c>
      <c r="P126" s="193">
        <f>M73/1000000</f>
        <v>0</v>
      </c>
      <c r="Q126" s="192">
        <f t="shared" si="24"/>
        <v>0</v>
      </c>
    </row>
    <row r="127" spans="2:20" s="24" customFormat="1" x14ac:dyDescent="0.35">
      <c r="D127" s="141" t="s">
        <v>36</v>
      </c>
      <c r="E127" s="10"/>
      <c r="F127" s="189">
        <f>F76/1000000</f>
        <v>8774</v>
      </c>
      <c r="G127" s="189">
        <f>G76/1000000</f>
        <v>8974</v>
      </c>
      <c r="H127" s="189"/>
      <c r="I127" s="189"/>
      <c r="J127" s="189">
        <f>J76/1000000</f>
        <v>5730</v>
      </c>
      <c r="K127" s="191">
        <f t="shared" si="22"/>
        <v>0.65306587645315706</v>
      </c>
      <c r="L127" s="186">
        <f>K76/1000000</f>
        <v>2013</v>
      </c>
      <c r="M127" s="190">
        <f>L127/F127</f>
        <v>0.22942785502621382</v>
      </c>
      <c r="N127" s="187">
        <f>L76/1000000</f>
        <v>5886</v>
      </c>
      <c r="O127" s="47">
        <f t="shared" si="23"/>
        <v>0.65589480722086024</v>
      </c>
      <c r="P127" s="186">
        <f>M76/1000000</f>
        <v>2013</v>
      </c>
      <c r="Q127" s="47">
        <f t="shared" si="24"/>
        <v>0.2243146868731892</v>
      </c>
    </row>
    <row r="128" spans="2:20" s="24" customFormat="1" x14ac:dyDescent="0.35">
      <c r="D128" s="141" t="s">
        <v>455</v>
      </c>
      <c r="E128" s="10"/>
      <c r="F128" s="189">
        <f>F116/1000000</f>
        <v>135</v>
      </c>
      <c r="G128" s="189">
        <f>G116/1000000</f>
        <v>55</v>
      </c>
      <c r="H128" s="189"/>
      <c r="I128" s="189"/>
      <c r="J128" s="189">
        <f>J116/1000000</f>
        <v>0</v>
      </c>
      <c r="K128" s="188"/>
      <c r="L128" s="129">
        <f>K116/1000000</f>
        <v>0</v>
      </c>
      <c r="M128" s="129"/>
      <c r="N128" s="187">
        <f>L116/1000000</f>
        <v>0</v>
      </c>
      <c r="O128" s="43">
        <f t="shared" si="23"/>
        <v>0</v>
      </c>
      <c r="P128" s="186">
        <f>M116/1000000</f>
        <v>0</v>
      </c>
      <c r="Q128" s="47">
        <f t="shared" si="24"/>
        <v>0</v>
      </c>
    </row>
    <row r="129" spans="2:24" x14ac:dyDescent="0.35">
      <c r="D129" s="185" t="s">
        <v>0</v>
      </c>
      <c r="E129" s="5"/>
      <c r="F129" s="2">
        <f>F121+SUM(F127:F128)</f>
        <v>21615.349149000001</v>
      </c>
      <c r="G129" s="2">
        <f>G121+SUM(G127:G128)</f>
        <v>22669.784312</v>
      </c>
      <c r="H129" s="2"/>
      <c r="I129" s="2"/>
      <c r="J129" s="2">
        <f>J121+SUM(J127:J128)</f>
        <v>8386.7638079999997</v>
      </c>
      <c r="K129" s="183">
        <f>J129/F129</f>
        <v>0.38800038575310264</v>
      </c>
      <c r="L129" s="184">
        <f>L121+SUM(L127:L128)</f>
        <v>6357.7682480000003</v>
      </c>
      <c r="M129" s="183">
        <f>L129/F129</f>
        <v>0.29413210974175413</v>
      </c>
      <c r="N129" s="182">
        <f>N121+N127+N128</f>
        <v>8850.9294517650451</v>
      </c>
      <c r="O129" s="181">
        <f t="shared" si="23"/>
        <v>0.39042848092206611</v>
      </c>
      <c r="P129" s="182">
        <f>P121+P127+P128</f>
        <v>4981.4135084792242</v>
      </c>
      <c r="Q129" s="181">
        <f t="shared" si="24"/>
        <v>0.21973801955594116</v>
      </c>
    </row>
    <row r="133" spans="2:24" x14ac:dyDescent="0.35">
      <c r="D133" s="242" t="s">
        <v>945</v>
      </c>
      <c r="E133" s="242"/>
      <c r="F133" s="247">
        <f>(SUM(F77:F102)+F112)/1000000</f>
        <v>5532</v>
      </c>
      <c r="G133" s="247">
        <f>(SUM(G77:G102)+G112)/1000000</f>
        <v>5257</v>
      </c>
      <c r="H133" s="246"/>
      <c r="I133" s="246"/>
      <c r="J133" s="246">
        <f>(SUM(J77:J102)+J112)/1000000</f>
        <v>2488</v>
      </c>
      <c r="K133" s="243">
        <f>J133/G133</f>
        <v>0.47327373026440933</v>
      </c>
      <c r="L133" s="246">
        <f>(SUM(K77:K102)+K112)/1000000</f>
        <v>2013</v>
      </c>
      <c r="M133" s="243">
        <f>L133/F133</f>
        <v>0.36388286334056397</v>
      </c>
    </row>
    <row r="134" spans="2:24" x14ac:dyDescent="0.35">
      <c r="D134" s="242" t="s">
        <v>944</v>
      </c>
      <c r="E134" s="242"/>
      <c r="F134" s="247">
        <f>SUM(F103:F107)/1000000</f>
        <v>514</v>
      </c>
      <c r="G134" s="247">
        <f>SUM(G103:G107)/1000000</f>
        <v>986</v>
      </c>
      <c r="H134" s="246">
        <f>SUM(H103:H107)/1000000</f>
        <v>5.0000000000000004E-6</v>
      </c>
      <c r="I134" s="246"/>
      <c r="J134" s="246">
        <f>SUM(J103:J107)/1000000</f>
        <v>514</v>
      </c>
      <c r="K134" s="243">
        <f>J134/F134</f>
        <v>1</v>
      </c>
      <c r="L134" s="246">
        <f>SUM(K103:K107)/1000000</f>
        <v>0</v>
      </c>
      <c r="M134" s="243">
        <f>L134/F134</f>
        <v>0</v>
      </c>
    </row>
    <row r="135" spans="2:24" x14ac:dyDescent="0.35">
      <c r="D135" s="242" t="s">
        <v>943</v>
      </c>
      <c r="E135" s="242"/>
      <c r="F135" s="247">
        <f>(F108+F109+F110+F111+F113)/1000000</f>
        <v>1569</v>
      </c>
      <c r="G135" s="247">
        <f>(G108+G109+G110+G111+G113)/1000000</f>
        <v>1569</v>
      </c>
      <c r="H135" s="246">
        <f>(H108+H109+H110+H111+H113)/1000000</f>
        <v>5.0000000000000004E-6</v>
      </c>
      <c r="I135" s="246"/>
      <c r="J135" s="246">
        <f>(J108+J109+J110+J111+J113)/1000000</f>
        <v>1569</v>
      </c>
      <c r="K135" s="243">
        <f>J135/G135</f>
        <v>1</v>
      </c>
      <c r="L135" s="246">
        <f>(K108+K109+K110+K111+K113)/1000000</f>
        <v>0</v>
      </c>
      <c r="M135" s="243">
        <f>L135/F135</f>
        <v>0</v>
      </c>
    </row>
    <row r="136" spans="2:24" x14ac:dyDescent="0.35">
      <c r="D136" s="242" t="s">
        <v>942</v>
      </c>
      <c r="E136" s="242"/>
      <c r="F136" s="247">
        <f>(F114+F115)/1000000</f>
        <v>1159</v>
      </c>
      <c r="G136" s="247">
        <f>(G114+G115)/1000000</f>
        <v>1162</v>
      </c>
      <c r="H136" s="246">
        <f>(H114+H115)/1000000</f>
        <v>1.9999999999999999E-6</v>
      </c>
      <c r="I136" s="246"/>
      <c r="J136" s="246">
        <f>(J114+J115)/1000000</f>
        <v>1159</v>
      </c>
      <c r="K136" s="243">
        <f>J136/G136</f>
        <v>0.9974182444061962</v>
      </c>
      <c r="L136" s="246">
        <f>(K114+K115)/1000000</f>
        <v>0</v>
      </c>
      <c r="M136" s="243">
        <f>L136/F136</f>
        <v>0</v>
      </c>
    </row>
    <row r="137" spans="2:24" x14ac:dyDescent="0.35">
      <c r="D137" s="242" t="s">
        <v>941</v>
      </c>
      <c r="E137" s="242"/>
      <c r="F137" s="245">
        <f>F133+F134+F135+F136</f>
        <v>8774</v>
      </c>
      <c r="G137" s="245">
        <f>G133+G134+G135+G136</f>
        <v>8974</v>
      </c>
      <c r="H137" s="244">
        <f>H133+H134+H135+H136</f>
        <v>1.2E-5</v>
      </c>
      <c r="I137" s="244"/>
      <c r="J137" s="244">
        <f>J133+J134+J135+J136</f>
        <v>5730</v>
      </c>
      <c r="K137" s="243">
        <f>J137/G137</f>
        <v>0.63851125473590375</v>
      </c>
      <c r="L137" s="244">
        <f>L133+L134+L135+L136</f>
        <v>2013</v>
      </c>
      <c r="M137" s="243">
        <f>L137/F137</f>
        <v>0.22942785502621382</v>
      </c>
    </row>
    <row r="138" spans="2:24" x14ac:dyDescent="0.35">
      <c r="D138" s="242"/>
      <c r="E138" s="242"/>
      <c r="F138" s="242"/>
      <c r="G138" s="242"/>
      <c r="H138" s="241"/>
      <c r="I138" s="241"/>
      <c r="J138" s="241"/>
      <c r="K138" s="241"/>
      <c r="L138" s="241"/>
      <c r="M138" s="241"/>
    </row>
    <row r="141" spans="2:24" x14ac:dyDescent="0.35">
      <c r="B141" s="23">
        <v>3</v>
      </c>
      <c r="C141" s="1" t="s">
        <v>1</v>
      </c>
      <c r="D141" s="22" t="s">
        <v>954</v>
      </c>
      <c r="E141" s="21"/>
      <c r="F141" s="52"/>
      <c r="G141" s="21"/>
      <c r="H141" s="21"/>
      <c r="I141" s="21"/>
      <c r="J141" s="52"/>
      <c r="K141" s="52"/>
      <c r="L141" s="52"/>
      <c r="M141" s="52"/>
      <c r="N141" s="52"/>
      <c r="O141" s="21"/>
      <c r="P141" s="21"/>
      <c r="Q141" s="21"/>
      <c r="R141" s="21"/>
      <c r="S141" s="21"/>
      <c r="T141" s="21"/>
      <c r="U141" s="21"/>
      <c r="V141" s="21"/>
      <c r="W141" s="21"/>
      <c r="X141" s="21"/>
    </row>
    <row r="143" spans="2:24" ht="36" x14ac:dyDescent="0.35">
      <c r="D143" s="66"/>
      <c r="F143" s="263" t="s">
        <v>464</v>
      </c>
      <c r="G143" s="200" t="s">
        <v>1021</v>
      </c>
      <c r="H143" s="263" t="s">
        <v>1022</v>
      </c>
      <c r="I143" s="263"/>
      <c r="J143" s="264" t="s">
        <v>1023</v>
      </c>
      <c r="K143" s="264" t="s">
        <v>996</v>
      </c>
    </row>
    <row r="144" spans="2:24" x14ac:dyDescent="0.35">
      <c r="D144" s="137" t="s">
        <v>4</v>
      </c>
      <c r="F144" s="262">
        <f>F121</f>
        <v>12706.349149</v>
      </c>
      <c r="G144" s="262">
        <f>J121</f>
        <v>2656.7638079999997</v>
      </c>
      <c r="H144" s="37">
        <f>G144/F144</f>
        <v>0.20908946990560928</v>
      </c>
      <c r="I144" s="37"/>
      <c r="J144" s="261">
        <f>L121</f>
        <v>4344.7682480000003</v>
      </c>
      <c r="K144" s="37">
        <f>J144/F144</f>
        <v>0.34193679058015947</v>
      </c>
    </row>
    <row r="145" spans="4:11" x14ac:dyDescent="0.35">
      <c r="D145" s="137" t="s">
        <v>36</v>
      </c>
      <c r="F145" s="262">
        <f>F127</f>
        <v>8774</v>
      </c>
      <c r="G145" s="262">
        <f>J127</f>
        <v>5730</v>
      </c>
      <c r="H145" s="37">
        <f>G145/F145</f>
        <v>0.65306587645315706</v>
      </c>
      <c r="I145" s="37"/>
      <c r="J145" s="261">
        <f>L127</f>
        <v>2013</v>
      </c>
      <c r="K145" s="37">
        <f>J145/F145</f>
        <v>0.22942785502621382</v>
      </c>
    </row>
    <row r="146" spans="4:11" x14ac:dyDescent="0.35">
      <c r="D146" s="137" t="s">
        <v>455</v>
      </c>
      <c r="F146" s="262">
        <f t="shared" ref="F146:F147" si="25">F128</f>
        <v>135</v>
      </c>
      <c r="G146" s="262">
        <f t="shared" ref="G146:G147" si="26">J128</f>
        <v>0</v>
      </c>
      <c r="H146" s="37">
        <f>G146/F146</f>
        <v>0</v>
      </c>
      <c r="I146" s="37"/>
      <c r="J146" s="261">
        <f>L128</f>
        <v>0</v>
      </c>
      <c r="K146" s="37">
        <f>J146/F146</f>
        <v>0</v>
      </c>
    </row>
    <row r="147" spans="4:11" x14ac:dyDescent="0.35">
      <c r="D147" s="185" t="s">
        <v>0</v>
      </c>
      <c r="F147" s="265">
        <f t="shared" si="25"/>
        <v>21615.349149000001</v>
      </c>
      <c r="G147" s="265">
        <f t="shared" si="26"/>
        <v>8386.7638079999997</v>
      </c>
      <c r="H147" s="266">
        <f>G147/F147</f>
        <v>0.38800038575310264</v>
      </c>
      <c r="I147" s="266"/>
      <c r="J147" s="265">
        <f>L129</f>
        <v>6357.7682480000003</v>
      </c>
      <c r="K147" s="266">
        <f>J147/F147</f>
        <v>0.29413210974175413</v>
      </c>
    </row>
  </sheetData>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TOTAL</vt:lpstr>
      <vt:lpstr>Agriculture</vt:lpstr>
      <vt:lpstr>Forêt</vt:lpstr>
      <vt:lpstr>AffairesMaritimes</vt:lpstr>
      <vt:lpstr>Aménagement</vt:lpstr>
      <vt:lpstr>Énergie</vt:lpstr>
      <vt:lpstr>Énergie!Zone_d_impression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SLOVE Remy</dc:creator>
  <cp:lastModifiedBy>GLAISE Charles-Henry</cp:lastModifiedBy>
  <dcterms:created xsi:type="dcterms:W3CDTF">2015-06-05T18:19:34Z</dcterms:created>
  <dcterms:modified xsi:type="dcterms:W3CDTF">2025-07-18T09:23:38Z</dcterms:modified>
</cp:coreProperties>
</file>